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M-Youth U14" sheetId="1" state="visible" r:id="rId1"/>
    <sheet name="M-Youth U16" sheetId="2" state="visible" r:id="rId2"/>
    <sheet name="M-Junior" sheetId="3" state="visible" r:id="rId3"/>
    <sheet name="M-Senior" sheetId="4" state="visible" r:id="rId4"/>
    <sheet name="M-Vet 40-49" sheetId="5" state="visible" r:id="rId5"/>
    <sheet name="M-Vet 50-59" sheetId="6" state="visible" r:id="rId6"/>
    <sheet name="M-Vet 60+" sheetId="7" state="visible" r:id="rId7"/>
    <sheet name="F-Youth U14" sheetId="8" state="visible" r:id="rId8"/>
    <sheet name="F-Youth U16" sheetId="9" state="visible" r:id="rId9"/>
    <sheet name="F-Junior" sheetId="10" state="visible" r:id="rId10"/>
    <sheet name="F-Senior" sheetId="11" state="visible" r:id="rId11"/>
    <sheet name="F-Vet 40-49" sheetId="12" state="visible" r:id="rId12"/>
    <sheet name="F-Vet 50-59" sheetId="13" state="visible" r:id="rId13"/>
    <sheet name="F-Vet 60+" sheetId="14" state="visible" r:id="rId14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name val="Calibri"/>
      <family val="2"/>
      <b val="1"/>
      <color theme="3"/>
      <sz val="13"/>
      <scheme val="minor"/>
    </font>
    <font>
      <name val="Calibri"/>
      <family val="2"/>
      <color theme="10"/>
      <sz val="12"/>
      <scheme val="minor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 tint="0.5"/>
      </bottom>
      <diagonal/>
    </border>
  </borders>
  <cellStyleXfs count="3">
    <xf numFmtId="0" fontId="0" fillId="0" borderId="0"/>
    <xf numFmtId="0" fontId="1" fillId="0" borderId="1"/>
    <xf numFmtId="0" fontId="2" fillId="0" borderId="0"/>
  </cellStyleXfs>
  <cellXfs count="3">
    <xf numFmtId="0" fontId="0" fillId="0" borderId="0" pivotButton="0" quotePrefix="0" xfId="0"/>
    <xf numFmtId="0" fontId="1" fillId="0" borderId="1" pivotButton="0" quotePrefix="0" xfId="1"/>
    <xf numFmtId="0" fontId="2" fillId="0" borderId="0" pivotButton="0" quotePrefix="0" xfId="2"/>
  </cellXfs>
  <cellStyles count="3">
    <cellStyle name="Normal" xfId="0" builtinId="0" hidden="0"/>
    <cellStyle name="Headline 2" xfId="1" builtinId="17" hidden="0"/>
    <cellStyle name="Hyperlink" xfId="2" builtinId="8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worksheet" Target="/xl/worksheets/sheet5.xml" Id="rId5" /><Relationship Type="http://schemas.openxmlformats.org/officeDocument/2006/relationships/worksheet" Target="/xl/worksheets/sheet6.xml" Id="rId6" /><Relationship Type="http://schemas.openxmlformats.org/officeDocument/2006/relationships/worksheet" Target="/xl/worksheets/sheet7.xml" Id="rId7" /><Relationship Type="http://schemas.openxmlformats.org/officeDocument/2006/relationships/worksheet" Target="/xl/worksheets/sheet8.xml" Id="rId8" /><Relationship Type="http://schemas.openxmlformats.org/officeDocument/2006/relationships/worksheet" Target="/xl/worksheets/sheet9.xml" Id="rId9" /><Relationship Type="http://schemas.openxmlformats.org/officeDocument/2006/relationships/worksheet" Target="/xl/worksheets/sheet10.xml" Id="rId10" /><Relationship Type="http://schemas.openxmlformats.org/officeDocument/2006/relationships/worksheet" Target="/xl/worksheets/sheet11.xml" Id="rId11" /><Relationship Type="http://schemas.openxmlformats.org/officeDocument/2006/relationships/worksheet" Target="/xl/worksheets/sheet12.xml" Id="rId12" /><Relationship Type="http://schemas.openxmlformats.org/officeDocument/2006/relationships/worksheet" Target="/xl/worksheets/sheet13.xml" Id="rId13" /><Relationship Type="http://schemas.openxmlformats.org/officeDocument/2006/relationships/worksheet" Target="/xl/worksheets/sheet14.xml" Id="rId14" /><Relationship Type="http://schemas.openxmlformats.org/officeDocument/2006/relationships/styles" Target="styles.xml" Id="rId15" /><Relationship Type="http://schemas.openxmlformats.org/officeDocument/2006/relationships/theme" Target="theme/theme1.xml" Id="rId1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F244"/>
  <sheetViews>
    <sheetView workbookViewId="0">
      <selection activeCell="A1" sqref="A1"/>
    </sheetView>
  </sheetViews>
  <sheetFormatPr baseColWidth="8" defaultRowHeight="15"/>
  <cols>
    <col width="8" customWidth="1" min="1" max="1"/>
    <col width="25" customWidth="1" min="2" max="2"/>
    <col width="50" customWidth="1" min="3" max="3"/>
    <col width="7" customWidth="1" min="4" max="4"/>
    <col width="20" customWidth="1" min="5" max="5"/>
  </cols>
  <sheetData>
    <row r="1">
      <c r="A1" s="1" t="inlineStr">
        <is>
          <t>Ranking</t>
        </is>
      </c>
      <c r="B1" s="1" t="inlineStr">
        <is>
          <t>Name</t>
        </is>
      </c>
      <c r="C1" s="1" t="inlineStr">
        <is>
          <t>Club/Team</t>
        </is>
      </c>
      <c r="D1" s="1" t="inlineStr">
        <is>
          <t>Points</t>
        </is>
      </c>
      <c r="E1" s="1" t="inlineStr">
        <is>
          <t>Detail (click)</t>
        </is>
      </c>
      <c r="F1" s="1" t="inlineStr">
        <is>
          <t>Updated: 2024-12-20</t>
        </is>
      </c>
    </row>
    <row r="2">
      <c r="A2" t="inlineStr">
        <is>
          <t>1</t>
        </is>
      </c>
      <c r="B2" t="inlineStr">
        <is>
          <t>Adam Short</t>
        </is>
      </c>
      <c r="C2" t="inlineStr">
        <is>
          <t>Cotswold Veldrijden</t>
        </is>
      </c>
      <c r="D2" t="inlineStr">
        <is>
          <t>556</t>
        </is>
      </c>
      <c r="E2" s="2">
        <f>HYPERLINK("https://www.britishcycling.org.uk/points?person_id=755410&amp;year=2024&amp;type=national&amp;d=6","Results")</f>
        <v/>
      </c>
    </row>
    <row r="3">
      <c r="A3" t="inlineStr">
        <is>
          <t>2</t>
        </is>
      </c>
      <c r="B3" t="inlineStr">
        <is>
          <t>Josh Stewart</t>
        </is>
      </c>
      <c r="C3" t="inlineStr">
        <is>
          <t>SteppingStanes Youth Cycling Club</t>
        </is>
      </c>
      <c r="D3" t="inlineStr">
        <is>
          <t>556</t>
        </is>
      </c>
      <c r="E3" s="2">
        <f>HYPERLINK("https://www.britishcycling.org.uk/points?person_id=611226&amp;year=2024&amp;type=national&amp;d=6","Results")</f>
        <v/>
      </c>
    </row>
    <row r="4">
      <c r="A4" t="inlineStr">
        <is>
          <t>3</t>
        </is>
      </c>
      <c r="B4" t="inlineStr">
        <is>
          <t>Isaac Vickery</t>
        </is>
      </c>
      <c r="C4" t="inlineStr">
        <is>
          <t>ROTOR Race Team</t>
        </is>
      </c>
      <c r="D4" t="inlineStr">
        <is>
          <t>524</t>
        </is>
      </c>
      <c r="E4" s="2">
        <f>HYPERLINK("https://www.britishcycling.org.uk/points?person_id=735935&amp;year=2024&amp;type=national&amp;d=6","Results")</f>
        <v/>
      </c>
    </row>
    <row r="5">
      <c r="A5" t="inlineStr">
        <is>
          <t>4</t>
        </is>
      </c>
      <c r="B5" t="inlineStr">
        <is>
          <t>Cody Bassett</t>
        </is>
      </c>
      <c r="C5" t="inlineStr">
        <is>
          <t>The Grit Cartel</t>
        </is>
      </c>
      <c r="D5" t="inlineStr">
        <is>
          <t>440</t>
        </is>
      </c>
      <c r="E5" s="2">
        <f>HYPERLINK("https://www.britishcycling.org.uk/points?person_id=749368&amp;year=2024&amp;type=national&amp;d=6","Results")</f>
        <v/>
      </c>
    </row>
    <row r="6">
      <c r="A6" t="inlineStr">
        <is>
          <t>5</t>
        </is>
      </c>
      <c r="B6" t="inlineStr">
        <is>
          <t>Laurie Dutton</t>
        </is>
      </c>
      <c r="C6" t="inlineStr">
        <is>
          <t>VC Londres</t>
        </is>
      </c>
      <c r="D6" t="inlineStr">
        <is>
          <t>436</t>
        </is>
      </c>
      <c r="E6" s="2">
        <f>HYPERLINK("https://www.britishcycling.org.uk/points?person_id=1036720&amp;year=2024&amp;type=national&amp;d=6","Results")</f>
        <v/>
      </c>
    </row>
    <row r="7">
      <c r="A7" t="inlineStr">
        <is>
          <t>6</t>
        </is>
      </c>
      <c r="B7" t="inlineStr">
        <is>
          <t>Reuben Hart</t>
        </is>
      </c>
      <c r="C7" t="inlineStr">
        <is>
          <t>Shibden Cycling Club</t>
        </is>
      </c>
      <c r="D7" t="inlineStr">
        <is>
          <t>376</t>
        </is>
      </c>
      <c r="E7" s="2">
        <f>HYPERLINK("https://www.britishcycling.org.uk/points?person_id=729696&amp;year=2024&amp;type=national&amp;d=6","Results")</f>
        <v/>
      </c>
    </row>
    <row r="8">
      <c r="A8" t="inlineStr">
        <is>
          <t>7</t>
        </is>
      </c>
      <c r="B8" t="inlineStr">
        <is>
          <t>Thomas Lazenby</t>
        </is>
      </c>
      <c r="C8" t="inlineStr">
        <is>
          <t>Hillingdon Slipstreamers</t>
        </is>
      </c>
      <c r="D8" t="inlineStr">
        <is>
          <t>358</t>
        </is>
      </c>
      <c r="E8" s="2">
        <f>HYPERLINK("https://www.britishcycling.org.uk/points?person_id=1019243&amp;year=2024&amp;type=national&amp;d=6","Results")</f>
        <v/>
      </c>
    </row>
    <row r="9">
      <c r="A9" t="inlineStr">
        <is>
          <t>8</t>
        </is>
      </c>
      <c r="B9" t="inlineStr">
        <is>
          <t>Jude White</t>
        </is>
      </c>
      <c r="C9" t="inlineStr">
        <is>
          <t>Mid Shropshire Wheelers</t>
        </is>
      </c>
      <c r="D9" t="inlineStr">
        <is>
          <t>348</t>
        </is>
      </c>
      <c r="E9" s="2">
        <f>HYPERLINK("https://www.britishcycling.org.uk/points?person_id=584422&amp;year=2024&amp;type=national&amp;d=6","Results")</f>
        <v/>
      </c>
    </row>
    <row r="10">
      <c r="A10" t="inlineStr">
        <is>
          <t>9</t>
        </is>
      </c>
      <c r="B10" t="inlineStr">
        <is>
          <t>Toby Carpenter</t>
        </is>
      </c>
      <c r="C10" t="inlineStr">
        <is>
          <t>Velo Club Lincoln</t>
        </is>
      </c>
      <c r="D10" t="inlineStr">
        <is>
          <t>338</t>
        </is>
      </c>
      <c r="E10" s="2">
        <f>HYPERLINK("https://www.britishcycling.org.uk/points?person_id=863922&amp;year=2024&amp;type=national&amp;d=6","Results")</f>
        <v/>
      </c>
    </row>
    <row r="11">
      <c r="A11" t="inlineStr">
        <is>
          <t>10</t>
        </is>
      </c>
      <c r="B11" t="inlineStr">
        <is>
          <t>Frank White</t>
        </is>
      </c>
      <c r="C11" t="inlineStr">
        <is>
          <t>Shibden Cycling Club</t>
        </is>
      </c>
      <c r="D11" t="inlineStr">
        <is>
          <t>334</t>
        </is>
      </c>
      <c r="E11" s="2">
        <f>HYPERLINK("https://www.britishcycling.org.uk/points?person_id=539246&amp;year=2024&amp;type=national&amp;d=6","Results")</f>
        <v/>
      </c>
    </row>
    <row r="12">
      <c r="A12" t="inlineStr">
        <is>
          <t>11</t>
        </is>
      </c>
      <c r="B12" t="inlineStr">
        <is>
          <t>Oscar Chambers</t>
        </is>
      </c>
      <c r="C12" t="inlineStr">
        <is>
          <t>VC Londres</t>
        </is>
      </c>
      <c r="D12" t="inlineStr">
        <is>
          <t>330</t>
        </is>
      </c>
      <c r="E12" s="2">
        <f>HYPERLINK("https://www.britishcycling.org.uk/points?person_id=996208&amp;year=2024&amp;type=national&amp;d=6","Results")</f>
        <v/>
      </c>
    </row>
    <row r="13">
      <c r="A13" t="inlineStr">
        <is>
          <t>12</t>
        </is>
      </c>
      <c r="B13" t="inlineStr">
        <is>
          <t>Joshua Halden</t>
        </is>
      </c>
      <c r="C13" t="inlineStr">
        <is>
          <t>Welwyn Wheelers CC</t>
        </is>
      </c>
      <c r="D13" t="inlineStr">
        <is>
          <t>328</t>
        </is>
      </c>
      <c r="E13" s="2">
        <f>HYPERLINK("https://www.britishcycling.org.uk/points?person_id=753300&amp;year=2024&amp;type=national&amp;d=6","Results")</f>
        <v/>
      </c>
    </row>
    <row r="14">
      <c r="A14" t="inlineStr">
        <is>
          <t>13</t>
        </is>
      </c>
      <c r="B14" t="inlineStr">
        <is>
          <t>James Clarke</t>
        </is>
      </c>
      <c r="C14" t="inlineStr">
        <is>
          <t>Colchester Rovers CC</t>
        </is>
      </c>
      <c r="D14" t="inlineStr">
        <is>
          <t>310</t>
        </is>
      </c>
      <c r="E14" s="2">
        <f>HYPERLINK("https://www.britishcycling.org.uk/points?person_id=630549&amp;year=2024&amp;type=national&amp;d=6","Results")</f>
        <v/>
      </c>
    </row>
    <row r="15">
      <c r="A15" t="inlineStr">
        <is>
          <t>14</t>
        </is>
      </c>
      <c r="B15" t="inlineStr">
        <is>
          <t>Lucas McCann</t>
        </is>
      </c>
      <c r="C15" t="inlineStr">
        <is>
          <t>Chase Racing</t>
        </is>
      </c>
      <c r="D15" t="inlineStr">
        <is>
          <t>310</t>
        </is>
      </c>
      <c r="E15" s="2">
        <f>HYPERLINK("https://www.britishcycling.org.uk/points?person_id=707140&amp;year=2024&amp;type=national&amp;d=6","Results")</f>
        <v/>
      </c>
    </row>
    <row r="16">
      <c r="A16" t="inlineStr">
        <is>
          <t>15</t>
        </is>
      </c>
      <c r="B16" t="inlineStr">
        <is>
          <t>Riley Mahoney</t>
        </is>
      </c>
      <c r="C16" t="inlineStr">
        <is>
          <t>4T+ Cyclopark</t>
        </is>
      </c>
      <c r="D16" t="inlineStr">
        <is>
          <t>306</t>
        </is>
      </c>
      <c r="E16" s="2">
        <f>HYPERLINK("https://www.britishcycling.org.uk/points?person_id=687760&amp;year=2024&amp;type=national&amp;d=6","Results")</f>
        <v/>
      </c>
    </row>
    <row r="17">
      <c r="A17" t="inlineStr">
        <is>
          <t>16</t>
        </is>
      </c>
      <c r="B17" t="inlineStr">
        <is>
          <t>Ben Nzegwu</t>
        </is>
      </c>
      <c r="C17" t="inlineStr">
        <is>
          <t>Solent Pirates</t>
        </is>
      </c>
      <c r="D17" t="inlineStr">
        <is>
          <t>300</t>
        </is>
      </c>
      <c r="E17" s="2">
        <f>HYPERLINK("https://www.britishcycling.org.uk/points?person_id=1039205&amp;year=2024&amp;type=national&amp;d=6","Results")</f>
        <v/>
      </c>
    </row>
    <row r="18">
      <c r="A18" t="inlineStr">
        <is>
          <t>17</t>
        </is>
      </c>
      <c r="B18" t="inlineStr">
        <is>
          <t>Zachary Bramley</t>
        </is>
      </c>
      <c r="C18" t="inlineStr">
        <is>
          <t>Derby Mercury RC</t>
        </is>
      </c>
      <c r="D18" t="inlineStr">
        <is>
          <t>294</t>
        </is>
      </c>
      <c r="E18" s="2">
        <f>HYPERLINK("https://www.britishcycling.org.uk/points?person_id=1029137&amp;year=2024&amp;type=national&amp;d=6","Results")</f>
        <v/>
      </c>
    </row>
    <row r="19">
      <c r="A19" t="inlineStr">
        <is>
          <t>18</t>
        </is>
      </c>
      <c r="B19" t="inlineStr">
        <is>
          <t>Laurence Denney</t>
        </is>
      </c>
      <c r="C19" t="inlineStr">
        <is>
          <t>Cwmcarn Paragon Cycling Club</t>
        </is>
      </c>
      <c r="D19" t="inlineStr">
        <is>
          <t>292</t>
        </is>
      </c>
      <c r="E19" s="2">
        <f>HYPERLINK("https://www.britishcycling.org.uk/points?person_id=619167&amp;year=2024&amp;type=national&amp;d=6","Results")</f>
        <v/>
      </c>
    </row>
    <row r="20">
      <c r="A20" t="inlineStr">
        <is>
          <t>19</t>
        </is>
      </c>
      <c r="B20" t="inlineStr">
        <is>
          <t>Oliver Howard</t>
        </is>
      </c>
      <c r="C20" t="inlineStr">
        <is>
          <t>Halesowen A &amp; CC</t>
        </is>
      </c>
      <c r="D20" t="inlineStr">
        <is>
          <t>292</t>
        </is>
      </c>
      <c r="E20" s="2">
        <f>HYPERLINK("https://www.britishcycling.org.uk/points?person_id=825375&amp;year=2024&amp;type=national&amp;d=6","Results")</f>
        <v/>
      </c>
    </row>
    <row r="21">
      <c r="A21" t="inlineStr">
        <is>
          <t>20</t>
        </is>
      </c>
      <c r="B21" t="inlineStr">
        <is>
          <t>Fynn Leddy</t>
        </is>
      </c>
      <c r="C21" t="inlineStr">
        <is>
          <t>Hetton Hawks Cycling Club</t>
        </is>
      </c>
      <c r="D21" t="inlineStr">
        <is>
          <t>290</t>
        </is>
      </c>
      <c r="E21" s="2">
        <f>HYPERLINK("https://www.britishcycling.org.uk/points?person_id=990643&amp;year=2024&amp;type=national&amp;d=6","Results")</f>
        <v/>
      </c>
    </row>
    <row r="22">
      <c r="A22" t="inlineStr">
        <is>
          <t>21</t>
        </is>
      </c>
      <c r="B22" t="inlineStr">
        <is>
          <t>Lukas Humplik</t>
        </is>
      </c>
      <c r="C22" t="inlineStr">
        <is>
          <t>Kettering CC</t>
        </is>
      </c>
      <c r="D22" t="inlineStr">
        <is>
          <t>286</t>
        </is>
      </c>
      <c r="E22" s="2">
        <f>HYPERLINK("https://www.britishcycling.org.uk/points?person_id=846101&amp;year=2024&amp;type=national&amp;d=6","Results")</f>
        <v/>
      </c>
    </row>
    <row r="23">
      <c r="A23" t="inlineStr">
        <is>
          <t>22</t>
        </is>
      </c>
      <c r="B23" t="inlineStr">
        <is>
          <t>Ben Clarke</t>
        </is>
      </c>
      <c r="C23" t="inlineStr">
        <is>
          <t>Ilkeston Cycle Club</t>
        </is>
      </c>
      <c r="D23" t="inlineStr">
        <is>
          <t>276</t>
        </is>
      </c>
      <c r="E23" s="2">
        <f>HYPERLINK("https://www.britishcycling.org.uk/points?person_id=901126&amp;year=2024&amp;type=national&amp;d=6","Results")</f>
        <v/>
      </c>
    </row>
    <row r="24">
      <c r="A24" t="inlineStr">
        <is>
          <t>23</t>
        </is>
      </c>
      <c r="B24" t="inlineStr">
        <is>
          <t>Micah Johnson Hayward</t>
        </is>
      </c>
      <c r="C24" t="inlineStr">
        <is>
          <t>Wolverhampton Wheelers</t>
        </is>
      </c>
      <c r="D24" t="inlineStr">
        <is>
          <t>276</t>
        </is>
      </c>
      <c r="E24" s="2">
        <f>HYPERLINK("https://www.britishcycling.org.uk/points?person_id=810623&amp;year=2024&amp;type=national&amp;d=6","Results")</f>
        <v/>
      </c>
    </row>
    <row r="25">
      <c r="A25" t="inlineStr">
        <is>
          <t>24</t>
        </is>
      </c>
      <c r="B25" t="inlineStr">
        <is>
          <t>Zachary Lowes</t>
        </is>
      </c>
      <c r="C25" t="inlineStr">
        <is>
          <t>Velo Club Lincoln</t>
        </is>
      </c>
      <c r="D25" t="inlineStr">
        <is>
          <t>268</t>
        </is>
      </c>
      <c r="E25" s="2">
        <f>HYPERLINK("https://www.britishcycling.org.uk/points?person_id=1147198&amp;year=2024&amp;type=national&amp;d=6","Results")</f>
        <v/>
      </c>
    </row>
    <row r="26">
      <c r="A26" t="inlineStr">
        <is>
          <t>25</t>
        </is>
      </c>
      <c r="B26" t="inlineStr">
        <is>
          <t>Harry Bull</t>
        </is>
      </c>
      <c r="C26" t="inlineStr">
        <is>
          <t>CTW Racing</t>
        </is>
      </c>
      <c r="D26" t="inlineStr">
        <is>
          <t>262</t>
        </is>
      </c>
      <c r="E26" s="2">
        <f>HYPERLINK("https://www.britishcycling.org.uk/points?person_id=948569&amp;year=2024&amp;type=national&amp;d=6","Results")</f>
        <v/>
      </c>
    </row>
    <row r="27">
      <c r="A27" t="inlineStr">
        <is>
          <t>26</t>
        </is>
      </c>
      <c r="B27" t="inlineStr">
        <is>
          <t>Ewan Allaway</t>
        </is>
      </c>
      <c r="C27" t="inlineStr">
        <is>
          <t>Pedalon.co.uk</t>
        </is>
      </c>
      <c r="D27" t="inlineStr">
        <is>
          <t>258</t>
        </is>
      </c>
      <c r="E27" s="2">
        <f>HYPERLINK("https://www.britishcycling.org.uk/points?person_id=771915&amp;year=2024&amp;type=national&amp;d=6","Results")</f>
        <v/>
      </c>
    </row>
    <row r="28">
      <c r="A28" t="inlineStr">
        <is>
          <t>27</t>
        </is>
      </c>
      <c r="B28" t="inlineStr">
        <is>
          <t>George Haines</t>
        </is>
      </c>
      <c r="C28" t="inlineStr">
        <is>
          <t>VC Londres</t>
        </is>
      </c>
      <c r="D28" t="inlineStr">
        <is>
          <t>258</t>
        </is>
      </c>
      <c r="E28" s="2">
        <f>HYPERLINK("https://www.britishcycling.org.uk/points?person_id=571547&amp;year=2024&amp;type=national&amp;d=6","Results")</f>
        <v/>
      </c>
    </row>
    <row r="29">
      <c r="A29" t="inlineStr">
        <is>
          <t>28</t>
        </is>
      </c>
      <c r="B29" t="inlineStr">
        <is>
          <t>Guy Rorke</t>
        </is>
      </c>
      <c r="C29" t="inlineStr">
        <is>
          <t>Pentland Racers</t>
        </is>
      </c>
      <c r="D29" t="inlineStr">
        <is>
          <t>252</t>
        </is>
      </c>
      <c r="E29" s="2">
        <f>HYPERLINK("https://www.britishcycling.org.uk/points?person_id=943914&amp;year=2024&amp;type=national&amp;d=6","Results")</f>
        <v/>
      </c>
    </row>
    <row r="30">
      <c r="A30" t="inlineStr">
        <is>
          <t>29</t>
        </is>
      </c>
      <c r="B30" t="inlineStr">
        <is>
          <t>Matthew Russell</t>
        </is>
      </c>
      <c r="C30" t="inlineStr">
        <is>
          <t>Cycle Stars</t>
        </is>
      </c>
      <c r="D30" t="inlineStr">
        <is>
          <t>252</t>
        </is>
      </c>
      <c r="E30" s="2">
        <f>HYPERLINK("https://www.britishcycling.org.uk/points?person_id=1021605&amp;year=2024&amp;type=national&amp;d=6","Results")</f>
        <v/>
      </c>
    </row>
    <row r="31">
      <c r="A31" t="inlineStr">
        <is>
          <t>30</t>
        </is>
      </c>
      <c r="B31" t="inlineStr">
        <is>
          <t>Daniel Hatcher</t>
        </is>
      </c>
      <c r="C31" t="inlineStr">
        <is>
          <t>Palmer Park Velo RT</t>
        </is>
      </c>
      <c r="D31" t="inlineStr">
        <is>
          <t>250</t>
        </is>
      </c>
      <c r="E31" s="2">
        <f>HYPERLINK("https://www.britishcycling.org.uk/points?person_id=853437&amp;year=2024&amp;type=national&amp;d=6","Results")</f>
        <v/>
      </c>
    </row>
    <row r="32">
      <c r="A32" t="inlineStr">
        <is>
          <t>31</t>
        </is>
      </c>
      <c r="B32" t="inlineStr">
        <is>
          <t>William Terry</t>
        </is>
      </c>
      <c r="C32" t="inlineStr">
        <is>
          <t>Poole Wheelers CC</t>
        </is>
      </c>
      <c r="D32" t="inlineStr">
        <is>
          <t>248</t>
        </is>
      </c>
      <c r="E32" s="2">
        <f>HYPERLINK("https://www.britishcycling.org.uk/points?person_id=985725&amp;year=2024&amp;type=national&amp;d=6","Results")</f>
        <v/>
      </c>
    </row>
    <row r="33">
      <c r="A33" t="inlineStr">
        <is>
          <t>32</t>
        </is>
      </c>
      <c r="B33" t="inlineStr">
        <is>
          <t>Jake Thornton</t>
        </is>
      </c>
      <c r="C33" t="inlineStr">
        <is>
          <t>Shibden Cycling Club</t>
        </is>
      </c>
      <c r="D33" t="inlineStr">
        <is>
          <t>248</t>
        </is>
      </c>
      <c r="E33" s="2">
        <f>HYPERLINK("https://www.britishcycling.org.uk/points?person_id=961375&amp;year=2024&amp;type=national&amp;d=6","Results")</f>
        <v/>
      </c>
    </row>
    <row r="34">
      <c r="A34" t="inlineStr">
        <is>
          <t>33</t>
        </is>
      </c>
      <c r="B34" t="inlineStr">
        <is>
          <t>Benjie Williams</t>
        </is>
      </c>
      <c r="C34" t="inlineStr">
        <is>
          <t>Welwyn Wheelers CC</t>
        </is>
      </c>
      <c r="D34" t="inlineStr">
        <is>
          <t>244</t>
        </is>
      </c>
      <c r="E34" s="2">
        <f>HYPERLINK("https://www.britishcycling.org.uk/points?person_id=873522&amp;year=2024&amp;type=national&amp;d=6","Results")</f>
        <v/>
      </c>
    </row>
    <row r="35">
      <c r="A35" t="inlineStr">
        <is>
          <t>34</t>
        </is>
      </c>
      <c r="B35" t="inlineStr">
        <is>
          <t>Logan Ayers</t>
        </is>
      </c>
      <c r="C35" t="inlineStr">
        <is>
          <t>Cycle Club Ashwell (CCA)</t>
        </is>
      </c>
      <c r="D35" t="inlineStr">
        <is>
          <t>237</t>
        </is>
      </c>
      <c r="E35" s="2">
        <f>HYPERLINK("https://www.britishcycling.org.uk/points?person_id=604547&amp;year=2024&amp;type=national&amp;d=6","Results")</f>
        <v/>
      </c>
    </row>
    <row r="36">
      <c r="A36" t="inlineStr">
        <is>
          <t>35</t>
        </is>
      </c>
      <c r="B36" t="inlineStr">
        <is>
          <t>Rudy Legg</t>
        </is>
      </c>
      <c r="C36" t="inlineStr">
        <is>
          <t>Maindy Flyers CC</t>
        </is>
      </c>
      <c r="D36" t="inlineStr">
        <is>
          <t>236</t>
        </is>
      </c>
      <c r="E36" s="2">
        <f>HYPERLINK("https://www.britishcycling.org.uk/points?person_id=812421&amp;year=2024&amp;type=national&amp;d=6","Results")</f>
        <v/>
      </c>
    </row>
    <row r="37">
      <c r="A37" t="inlineStr">
        <is>
          <t>36</t>
        </is>
      </c>
      <c r="B37" t="inlineStr">
        <is>
          <t>Rowan Murphy</t>
        </is>
      </c>
      <c r="C37" t="inlineStr">
        <is>
          <t>4T+ Cyclopark</t>
        </is>
      </c>
      <c r="D37" t="inlineStr">
        <is>
          <t>236</t>
        </is>
      </c>
      <c r="E37" s="2">
        <f>HYPERLINK("https://www.britishcycling.org.uk/points?person_id=898947&amp;year=2024&amp;type=national&amp;d=6","Results")</f>
        <v/>
      </c>
    </row>
    <row r="38">
      <c r="A38" t="inlineStr">
        <is>
          <t>37</t>
        </is>
      </c>
      <c r="B38" t="inlineStr">
        <is>
          <t>James Allen</t>
        </is>
      </c>
      <c r="C38" t="inlineStr">
        <is>
          <t>Mid Devon CC</t>
        </is>
      </c>
      <c r="D38" t="inlineStr">
        <is>
          <t>234</t>
        </is>
      </c>
      <c r="E38" s="2">
        <f>HYPERLINK("https://www.britishcycling.org.uk/points?person_id=983358&amp;year=2024&amp;type=national&amp;d=6","Results")</f>
        <v/>
      </c>
    </row>
    <row r="39">
      <c r="A39" t="inlineStr">
        <is>
          <t>38</t>
        </is>
      </c>
      <c r="B39" t="inlineStr">
        <is>
          <t>Rory Perry</t>
        </is>
      </c>
      <c r="C39" t="inlineStr">
        <is>
          <t>Welwyn Wheelers CC</t>
        </is>
      </c>
      <c r="D39" t="inlineStr">
        <is>
          <t>231</t>
        </is>
      </c>
      <c r="E39" s="2">
        <f>HYPERLINK("https://www.britishcycling.org.uk/points?person_id=1030512&amp;year=2024&amp;type=national&amp;d=6","Results")</f>
        <v/>
      </c>
    </row>
    <row r="40">
      <c r="A40" t="inlineStr">
        <is>
          <t>39</t>
        </is>
      </c>
      <c r="B40" t="inlineStr">
        <is>
          <t>Frank Spauls</t>
        </is>
      </c>
      <c r="C40" t="inlineStr">
        <is>
          <t>Iceni Velo</t>
        </is>
      </c>
      <c r="D40" t="inlineStr">
        <is>
          <t>226</t>
        </is>
      </c>
      <c r="E40" s="2">
        <f>HYPERLINK("https://www.britishcycling.org.uk/points?person_id=729973&amp;year=2024&amp;type=national&amp;d=6","Results")</f>
        <v/>
      </c>
    </row>
    <row r="41">
      <c r="A41" t="inlineStr">
        <is>
          <t>40</t>
        </is>
      </c>
      <c r="B41" t="inlineStr">
        <is>
          <t>Tom Craker</t>
        </is>
      </c>
      <c r="C41" t="inlineStr">
        <is>
          <t>Barrow Central Wheelers</t>
        </is>
      </c>
      <c r="D41" t="inlineStr">
        <is>
          <t>218</t>
        </is>
      </c>
      <c r="E41" s="2">
        <f>HYPERLINK("https://www.britishcycling.org.uk/points?person_id=1025842&amp;year=2024&amp;type=national&amp;d=6","Results")</f>
        <v/>
      </c>
    </row>
    <row r="42">
      <c r="A42" t="inlineStr">
        <is>
          <t>41</t>
        </is>
      </c>
      <c r="B42" t="inlineStr">
        <is>
          <t>Leo Walsh</t>
        </is>
      </c>
      <c r="C42" t="inlineStr">
        <is>
          <t>Salt Ayre Cog Set</t>
        </is>
      </c>
      <c r="D42" t="inlineStr">
        <is>
          <t>216</t>
        </is>
      </c>
      <c r="E42" s="2">
        <f>HYPERLINK("https://www.britishcycling.org.uk/points?person_id=397991&amp;year=2024&amp;type=national&amp;d=6","Results")</f>
        <v/>
      </c>
    </row>
    <row r="43">
      <c r="A43" t="inlineStr">
        <is>
          <t>42</t>
        </is>
      </c>
      <c r="B43" t="inlineStr">
        <is>
          <t>Osian Phillips</t>
        </is>
      </c>
      <c r="C43" t="inlineStr">
        <is>
          <t>Maindy Flyers CC</t>
        </is>
      </c>
      <c r="D43" t="inlineStr">
        <is>
          <t>212</t>
        </is>
      </c>
      <c r="E43" s="2">
        <f>HYPERLINK("https://www.britishcycling.org.uk/points?person_id=650408&amp;year=2024&amp;type=national&amp;d=6","Results")</f>
        <v/>
      </c>
    </row>
    <row r="44">
      <c r="A44" t="inlineStr">
        <is>
          <t>43</t>
        </is>
      </c>
      <c r="B44" t="inlineStr">
        <is>
          <t>Jacob Day</t>
        </is>
      </c>
      <c r="C44" t="inlineStr">
        <is>
          <t>VC Londres</t>
        </is>
      </c>
      <c r="D44" t="inlineStr">
        <is>
          <t>210</t>
        </is>
      </c>
      <c r="E44" s="2">
        <f>HYPERLINK("https://www.britishcycling.org.uk/points?person_id=987948&amp;year=2024&amp;type=national&amp;d=6","Results")</f>
        <v/>
      </c>
    </row>
    <row r="45">
      <c r="A45" t="inlineStr">
        <is>
          <t>44</t>
        </is>
      </c>
      <c r="B45" t="inlineStr">
        <is>
          <t>Dylan Sullivan</t>
        </is>
      </c>
      <c r="C45" t="inlineStr">
        <is>
          <t>CTW Racing</t>
        </is>
      </c>
      <c r="D45" t="inlineStr">
        <is>
          <t>208</t>
        </is>
      </c>
      <c r="E45" s="2">
        <f>HYPERLINK("https://www.britishcycling.org.uk/points?person_id=948306&amp;year=2024&amp;type=national&amp;d=6","Results")</f>
        <v/>
      </c>
    </row>
    <row r="46">
      <c r="A46" t="inlineStr">
        <is>
          <t>45</t>
        </is>
      </c>
      <c r="B46" t="inlineStr">
        <is>
          <t>Baily Groombridge</t>
        </is>
      </c>
      <c r="C46" t="inlineStr">
        <is>
          <t>Norwich Racing Team</t>
        </is>
      </c>
      <c r="D46" t="inlineStr">
        <is>
          <t>206</t>
        </is>
      </c>
      <c r="E46" s="2">
        <f>HYPERLINK("https://www.britishcycling.org.uk/points?person_id=840547&amp;year=2024&amp;type=national&amp;d=6","Results")</f>
        <v/>
      </c>
    </row>
    <row r="47">
      <c r="A47" t="inlineStr">
        <is>
          <t>46</t>
        </is>
      </c>
      <c r="B47" t="inlineStr">
        <is>
          <t>Zak Lewis</t>
        </is>
      </c>
      <c r="C47" t="inlineStr">
        <is>
          <t>Gannet CC</t>
        </is>
      </c>
      <c r="D47" t="inlineStr">
        <is>
          <t>198</t>
        </is>
      </c>
      <c r="E47" s="2">
        <f>HYPERLINK("https://www.britishcycling.org.uk/points?person_id=873802&amp;year=2024&amp;type=national&amp;d=6","Results")</f>
        <v/>
      </c>
    </row>
    <row r="48">
      <c r="A48" t="inlineStr">
        <is>
          <t>47</t>
        </is>
      </c>
      <c r="B48" t="inlineStr">
        <is>
          <t>Hugh Graves</t>
        </is>
      </c>
      <c r="C48" t="inlineStr">
        <is>
          <t>4T+ Cyclopark</t>
        </is>
      </c>
      <c r="D48" t="inlineStr">
        <is>
          <t>197</t>
        </is>
      </c>
      <c r="E48" s="2">
        <f>HYPERLINK("https://www.britishcycling.org.uk/points?person_id=862227&amp;year=2024&amp;type=national&amp;d=6","Results")</f>
        <v/>
      </c>
    </row>
    <row r="49">
      <c r="A49" t="inlineStr">
        <is>
          <t>48</t>
        </is>
      </c>
      <c r="B49" t="inlineStr">
        <is>
          <t>Alex Cooke</t>
        </is>
      </c>
      <c r="C49" t="inlineStr">
        <is>
          <t>Nottingham Clarion CC</t>
        </is>
      </c>
      <c r="D49" t="inlineStr">
        <is>
          <t>196</t>
        </is>
      </c>
      <c r="E49" s="2">
        <f>HYPERLINK("https://www.britishcycling.org.uk/points?person_id=925136&amp;year=2024&amp;type=national&amp;d=6","Results")</f>
        <v/>
      </c>
    </row>
    <row r="50">
      <c r="A50" t="inlineStr">
        <is>
          <t>49</t>
        </is>
      </c>
      <c r="B50" t="inlineStr">
        <is>
          <t>William Butcher</t>
        </is>
      </c>
      <c r="C50" t="inlineStr">
        <is>
          <t>Lee Valley Youth Cycling Club</t>
        </is>
      </c>
      <c r="D50" t="inlineStr">
        <is>
          <t>194</t>
        </is>
      </c>
      <c r="E50" s="2">
        <f>HYPERLINK("https://www.britishcycling.org.uk/points?person_id=735475&amp;year=2024&amp;type=national&amp;d=6","Results")</f>
        <v/>
      </c>
    </row>
    <row r="51">
      <c r="A51" t="inlineStr">
        <is>
          <t>50</t>
        </is>
      </c>
      <c r="B51" t="inlineStr">
        <is>
          <t>Lewis Bentley</t>
        </is>
      </c>
      <c r="C51" t="inlineStr">
        <is>
          <t>Shibden Cycling Club</t>
        </is>
      </c>
      <c r="D51" t="inlineStr">
        <is>
          <t>193</t>
        </is>
      </c>
      <c r="E51" s="2">
        <f>HYPERLINK("https://www.britishcycling.org.uk/points?person_id=1006766&amp;year=2024&amp;type=national&amp;d=6","Results")</f>
        <v/>
      </c>
    </row>
    <row r="52">
      <c r="A52" t="inlineStr">
        <is>
          <t>51</t>
        </is>
      </c>
      <c r="B52" t="inlineStr">
        <is>
          <t>Albert Winkley</t>
        </is>
      </c>
      <c r="C52" t="inlineStr">
        <is>
          <t>Shibden Cycling Club</t>
        </is>
      </c>
      <c r="D52" t="inlineStr">
        <is>
          <t>188</t>
        </is>
      </c>
      <c r="E52" s="2">
        <f>HYPERLINK("https://www.britishcycling.org.uk/points?person_id=449171&amp;year=2024&amp;type=national&amp;d=6","Results")</f>
        <v/>
      </c>
    </row>
    <row r="53">
      <c r="A53" t="inlineStr">
        <is>
          <t>52</t>
        </is>
      </c>
      <c r="B53" t="inlineStr">
        <is>
          <t>Tommy Bowman</t>
        </is>
      </c>
      <c r="C53" t="inlineStr">
        <is>
          <t>Shibden Cycling Club</t>
        </is>
      </c>
      <c r="D53" t="inlineStr">
        <is>
          <t>186</t>
        </is>
      </c>
      <c r="E53" s="2">
        <f>HYPERLINK("https://www.britishcycling.org.uk/points?person_id=599496&amp;year=2024&amp;type=national&amp;d=6","Results")</f>
        <v/>
      </c>
    </row>
    <row r="54">
      <c r="A54" t="inlineStr">
        <is>
          <t>53</t>
        </is>
      </c>
      <c r="B54" t="inlineStr">
        <is>
          <t>Samuel Medland</t>
        </is>
      </c>
      <c r="C54" t="inlineStr">
        <is>
          <t>Dartmoor Velo</t>
        </is>
      </c>
      <c r="D54" t="inlineStr">
        <is>
          <t>186</t>
        </is>
      </c>
      <c r="E54" s="2">
        <f>HYPERLINK("https://www.britishcycling.org.uk/points?person_id=1058654&amp;year=2024&amp;type=national&amp;d=6","Results")</f>
        <v/>
      </c>
    </row>
    <row r="55">
      <c r="A55" t="inlineStr">
        <is>
          <t>54</t>
        </is>
      </c>
      <c r="B55" t="inlineStr">
        <is>
          <t>Aidan Sherriff</t>
        </is>
      </c>
      <c r="C55" t="inlineStr">
        <is>
          <t>Stratford CC</t>
        </is>
      </c>
      <c r="D55" t="inlineStr">
        <is>
          <t>180</t>
        </is>
      </c>
      <c r="E55" s="2">
        <f>HYPERLINK("https://www.britishcycling.org.uk/points?person_id=947652&amp;year=2024&amp;type=national&amp;d=6","Results")</f>
        <v/>
      </c>
    </row>
    <row r="56">
      <c r="A56" t="inlineStr">
        <is>
          <t>55</t>
        </is>
      </c>
      <c r="B56" t="inlineStr">
        <is>
          <t>Barnaby Burgoyne</t>
        </is>
      </c>
      <c r="C56" t="inlineStr">
        <is>
          <t>Colchester Rovers CC</t>
        </is>
      </c>
      <c r="D56" t="inlineStr">
        <is>
          <t>175</t>
        </is>
      </c>
      <c r="E56" s="2">
        <f>HYPERLINK("https://www.britishcycling.org.uk/points?person_id=1058544&amp;year=2024&amp;type=national&amp;d=6","Results")</f>
        <v/>
      </c>
    </row>
    <row r="57">
      <c r="A57" t="inlineStr">
        <is>
          <t>56</t>
        </is>
      </c>
      <c r="B57" t="inlineStr">
        <is>
          <t>Joshua Anderson</t>
        </is>
      </c>
      <c r="C57" t="inlineStr">
        <is>
          <t>Salisbury Road and Mountain CC</t>
        </is>
      </c>
      <c r="D57" t="inlineStr">
        <is>
          <t>170</t>
        </is>
      </c>
      <c r="E57" s="2">
        <f>HYPERLINK("https://www.britishcycling.org.uk/points?person_id=1044423&amp;year=2024&amp;type=national&amp;d=6","Results")</f>
        <v/>
      </c>
    </row>
    <row r="58">
      <c r="A58" t="inlineStr">
        <is>
          <t>57</t>
        </is>
      </c>
      <c r="B58" t="inlineStr">
        <is>
          <t>Lewis Bailie</t>
        </is>
      </c>
      <c r="C58" t="inlineStr">
        <is>
          <t>Tyneside Vagabonds CC</t>
        </is>
      </c>
      <c r="D58" t="inlineStr">
        <is>
          <t>166</t>
        </is>
      </c>
      <c r="E58" s="2">
        <f>HYPERLINK("https://www.britishcycling.org.uk/points?person_id=880541&amp;year=2024&amp;type=national&amp;d=6","Results")</f>
        <v/>
      </c>
    </row>
    <row r="59">
      <c r="A59" t="inlineStr">
        <is>
          <t>58</t>
        </is>
      </c>
      <c r="B59" t="inlineStr">
        <is>
          <t>Joshua Ball</t>
        </is>
      </c>
      <c r="C59" t="inlineStr">
        <is>
          <t>Derby Mercury RC</t>
        </is>
      </c>
      <c r="D59" t="inlineStr">
        <is>
          <t>166</t>
        </is>
      </c>
      <c r="E59" s="2">
        <f>HYPERLINK("https://www.britishcycling.org.uk/points?person_id=941285&amp;year=2024&amp;type=national&amp;d=6","Results")</f>
        <v/>
      </c>
    </row>
    <row r="60">
      <c r="A60" t="inlineStr">
        <is>
          <t>59</t>
        </is>
      </c>
      <c r="B60" t="inlineStr">
        <is>
          <t>Sam Kingan</t>
        </is>
      </c>
      <c r="C60" t="inlineStr">
        <is>
          <t>Pentland Racers</t>
        </is>
      </c>
      <c r="D60" t="inlineStr">
        <is>
          <t>166</t>
        </is>
      </c>
      <c r="E60" s="2">
        <f>HYPERLINK("https://www.britishcycling.org.uk/points?person_id=657373&amp;year=2024&amp;type=national&amp;d=6","Results")</f>
        <v/>
      </c>
    </row>
    <row r="61">
      <c r="A61" t="inlineStr">
        <is>
          <t>60</t>
        </is>
      </c>
      <c r="B61" t="inlineStr">
        <is>
          <t>Oliver Mannion</t>
        </is>
      </c>
      <c r="C61" t="inlineStr">
        <is>
          <t>Shibden Cycling Club</t>
        </is>
      </c>
      <c r="D61" t="inlineStr">
        <is>
          <t>164</t>
        </is>
      </c>
      <c r="E61" s="2">
        <f>HYPERLINK("https://www.britishcycling.org.uk/points?person_id=770423&amp;year=2024&amp;type=national&amp;d=6","Results")</f>
        <v/>
      </c>
    </row>
    <row r="62">
      <c r="A62" t="inlineStr">
        <is>
          <t>61</t>
        </is>
      </c>
      <c r="B62" t="inlineStr">
        <is>
          <t>Harry Cragg</t>
        </is>
      </c>
      <c r="C62" t="inlineStr">
        <is>
          <t>Sleaford Wheelers Cycling Club</t>
        </is>
      </c>
      <c r="D62" t="inlineStr">
        <is>
          <t>162</t>
        </is>
      </c>
      <c r="E62" s="2">
        <f>HYPERLINK("https://www.britishcycling.org.uk/points?person_id=568430&amp;year=2024&amp;type=national&amp;d=6","Results")</f>
        <v/>
      </c>
    </row>
    <row r="63">
      <c r="A63" t="inlineStr">
        <is>
          <t>62</t>
        </is>
      </c>
      <c r="B63" t="inlineStr">
        <is>
          <t>Jamie Kerry</t>
        </is>
      </c>
      <c r="C63" t="inlineStr">
        <is>
          <t>Cycle Stars</t>
        </is>
      </c>
      <c r="D63" t="inlineStr">
        <is>
          <t>162</t>
        </is>
      </c>
      <c r="E63" s="2">
        <f>HYPERLINK("https://www.britishcycling.org.uk/points?person_id=884640&amp;year=2024&amp;type=national&amp;d=6","Results")</f>
        <v/>
      </c>
    </row>
    <row r="64">
      <c r="A64" t="inlineStr">
        <is>
          <t>63</t>
        </is>
      </c>
      <c r="B64" t="inlineStr">
        <is>
          <t>Zachary Lulham</t>
        </is>
      </c>
      <c r="C64" t="inlineStr">
        <is>
          <t>ViCiOUS VELO</t>
        </is>
      </c>
      <c r="D64" t="inlineStr">
        <is>
          <t>162</t>
        </is>
      </c>
      <c r="E64" s="2">
        <f>HYPERLINK("https://www.britishcycling.org.uk/points?person_id=996034&amp;year=2024&amp;type=national&amp;d=6","Results")</f>
        <v/>
      </c>
    </row>
    <row r="65">
      <c r="A65" t="inlineStr">
        <is>
          <t>64</t>
        </is>
      </c>
      <c r="B65" t="inlineStr">
        <is>
          <t>Isaac McAdie</t>
        </is>
      </c>
      <c r="C65" t="inlineStr">
        <is>
          <t>Gower Riders</t>
        </is>
      </c>
      <c r="D65" t="inlineStr">
        <is>
          <t>160</t>
        </is>
      </c>
      <c r="E65" s="2">
        <f>HYPERLINK("https://www.britishcycling.org.uk/points?person_id=879208&amp;year=2024&amp;type=national&amp;d=6","Results")</f>
        <v/>
      </c>
    </row>
    <row r="66">
      <c r="A66" t="inlineStr">
        <is>
          <t>65</t>
        </is>
      </c>
      <c r="B66" t="inlineStr">
        <is>
          <t>Henry Wilson</t>
        </is>
      </c>
      <c r="C66" t="inlineStr">
        <is>
          <t>Ilkeston Cycle Club</t>
        </is>
      </c>
      <c r="D66" t="inlineStr">
        <is>
          <t>160</t>
        </is>
      </c>
      <c r="E66" s="2">
        <f>HYPERLINK("https://www.britishcycling.org.uk/points?person_id=838138&amp;year=2024&amp;type=national&amp;d=6","Results")</f>
        <v/>
      </c>
    </row>
    <row r="67">
      <c r="A67" t="inlineStr">
        <is>
          <t>66</t>
        </is>
      </c>
      <c r="B67" t="inlineStr">
        <is>
          <t>Harry Kemp</t>
        </is>
      </c>
      <c r="C67" t="inlineStr">
        <is>
          <t>Clifton CC</t>
        </is>
      </c>
      <c r="D67" t="inlineStr">
        <is>
          <t>155</t>
        </is>
      </c>
      <c r="E67" s="2">
        <f>HYPERLINK("https://www.britishcycling.org.uk/points?person_id=736572&amp;year=2024&amp;type=national&amp;d=6","Results")</f>
        <v/>
      </c>
    </row>
    <row r="68">
      <c r="A68" t="inlineStr">
        <is>
          <t>67</t>
        </is>
      </c>
      <c r="B68" t="inlineStr">
        <is>
          <t>Gethin Richardson</t>
        </is>
      </c>
      <c r="C68" t="inlineStr">
        <is>
          <t>Maindy Flyers CC</t>
        </is>
      </c>
      <c r="D68" t="inlineStr">
        <is>
          <t>154</t>
        </is>
      </c>
      <c r="E68" s="2">
        <f>HYPERLINK("https://www.britishcycling.org.uk/points?person_id=948321&amp;year=2024&amp;type=national&amp;d=6","Results")</f>
        <v/>
      </c>
    </row>
    <row r="69">
      <c r="A69" t="inlineStr">
        <is>
          <t>68</t>
        </is>
      </c>
      <c r="B69" t="inlineStr">
        <is>
          <t>Edward Styles</t>
        </is>
      </c>
      <c r="C69" t="inlineStr">
        <is>
          <t>Team Milton Keynes</t>
        </is>
      </c>
      <c r="D69" t="inlineStr">
        <is>
          <t>154</t>
        </is>
      </c>
      <c r="E69" s="2">
        <f>HYPERLINK("https://www.britishcycling.org.uk/points?person_id=943004&amp;year=2024&amp;type=national&amp;d=6","Results")</f>
        <v/>
      </c>
    </row>
    <row r="70">
      <c r="A70" t="inlineStr">
        <is>
          <t>69</t>
        </is>
      </c>
      <c r="B70" t="inlineStr">
        <is>
          <t>Thomas Bullock</t>
        </is>
      </c>
      <c r="C70" t="inlineStr"/>
      <c r="D70" t="inlineStr">
        <is>
          <t>152</t>
        </is>
      </c>
      <c r="E70" s="2">
        <f>HYPERLINK("https://www.britishcycling.org.uk/points?person_id=1136828&amp;year=2024&amp;type=national&amp;d=6","Results")</f>
        <v/>
      </c>
    </row>
    <row r="71">
      <c r="A71" t="inlineStr">
        <is>
          <t>70</t>
        </is>
      </c>
      <c r="B71" t="inlineStr">
        <is>
          <t>Jacob Lattimer</t>
        </is>
      </c>
      <c r="C71" t="inlineStr">
        <is>
          <t>Solihull CC</t>
        </is>
      </c>
      <c r="D71" t="inlineStr">
        <is>
          <t>152</t>
        </is>
      </c>
      <c r="E71" s="2">
        <f>HYPERLINK("https://www.britishcycling.org.uk/points?person_id=887118&amp;year=2024&amp;type=national&amp;d=6","Results")</f>
        <v/>
      </c>
    </row>
    <row r="72">
      <c r="A72" t="inlineStr">
        <is>
          <t>71</t>
        </is>
      </c>
      <c r="B72" t="inlineStr">
        <is>
          <t>Tom McCann</t>
        </is>
      </c>
      <c r="C72" t="inlineStr">
        <is>
          <t>NSP Cycling Team</t>
        </is>
      </c>
      <c r="D72" t="inlineStr">
        <is>
          <t>148</t>
        </is>
      </c>
      <c r="E72" s="2">
        <f>HYPERLINK("https://www.britishcycling.org.uk/points?person_id=1127712&amp;year=2024&amp;type=national&amp;d=6","Results")</f>
        <v/>
      </c>
    </row>
    <row r="73">
      <c r="A73" t="inlineStr">
        <is>
          <t>72</t>
        </is>
      </c>
      <c r="B73" t="inlineStr">
        <is>
          <t>Ambrose Mapp</t>
        </is>
      </c>
      <c r="C73" t="inlineStr">
        <is>
          <t>Halesowen A &amp; CC</t>
        </is>
      </c>
      <c r="D73" t="inlineStr">
        <is>
          <t>147</t>
        </is>
      </c>
      <c r="E73" s="2">
        <f>HYPERLINK("https://www.britishcycling.org.uk/points?person_id=902724&amp;year=2024&amp;type=national&amp;d=6","Results")</f>
        <v/>
      </c>
    </row>
    <row r="74">
      <c r="A74" t="inlineStr">
        <is>
          <t>73</t>
        </is>
      </c>
      <c r="B74" t="inlineStr">
        <is>
          <t>Arthur Fordyce</t>
        </is>
      </c>
      <c r="C74" t="inlineStr">
        <is>
          <t>North Cheshire Clarion</t>
        </is>
      </c>
      <c r="D74" t="inlineStr">
        <is>
          <t>144</t>
        </is>
      </c>
      <c r="E74" s="2">
        <f>HYPERLINK("https://www.britishcycling.org.uk/points?person_id=501425&amp;year=2024&amp;type=national&amp;d=6","Results")</f>
        <v/>
      </c>
    </row>
    <row r="75">
      <c r="A75" t="inlineStr">
        <is>
          <t>74</t>
        </is>
      </c>
      <c r="B75" t="inlineStr">
        <is>
          <t>Gregor McNaught</t>
        </is>
      </c>
      <c r="C75" t="inlineStr">
        <is>
          <t>Glasgow Riderz</t>
        </is>
      </c>
      <c r="D75" t="inlineStr">
        <is>
          <t>144</t>
        </is>
      </c>
      <c r="E75" s="2">
        <f>HYPERLINK("https://www.britishcycling.org.uk/points?person_id=650558&amp;year=2024&amp;type=national&amp;d=6","Results")</f>
        <v/>
      </c>
    </row>
    <row r="76">
      <c r="A76" t="inlineStr">
        <is>
          <t>75</t>
        </is>
      </c>
      <c r="B76" t="inlineStr">
        <is>
          <t>Dylan Plail</t>
        </is>
      </c>
      <c r="C76" t="inlineStr">
        <is>
          <t>Bigfoot Youth Cycle Club Ltd</t>
        </is>
      </c>
      <c r="D76" t="inlineStr">
        <is>
          <t>144</t>
        </is>
      </c>
      <c r="E76" s="2">
        <f>HYPERLINK("https://www.britishcycling.org.uk/points?person_id=828554&amp;year=2024&amp;type=national&amp;d=6","Results")</f>
        <v/>
      </c>
    </row>
    <row r="77">
      <c r="A77" t="inlineStr">
        <is>
          <t>76</t>
        </is>
      </c>
      <c r="B77" t="inlineStr">
        <is>
          <t>Lucas Riches</t>
        </is>
      </c>
      <c r="C77" t="inlineStr">
        <is>
          <t>Wheal Velocity</t>
        </is>
      </c>
      <c r="D77" t="inlineStr">
        <is>
          <t>144</t>
        </is>
      </c>
      <c r="E77" s="2">
        <f>HYPERLINK("https://www.britishcycling.org.uk/points?person_id=969738&amp;year=2024&amp;type=national&amp;d=6","Results")</f>
        <v/>
      </c>
    </row>
    <row r="78">
      <c r="A78" t="inlineStr">
        <is>
          <t>77</t>
        </is>
      </c>
      <c r="B78" t="inlineStr">
        <is>
          <t>Huw Mabey</t>
        </is>
      </c>
      <c r="C78" t="inlineStr">
        <is>
          <t>Malvern Cycle Sport</t>
        </is>
      </c>
      <c r="D78" t="inlineStr">
        <is>
          <t>142</t>
        </is>
      </c>
      <c r="E78" s="2">
        <f>HYPERLINK("https://www.britishcycling.org.uk/points?person_id=1006555&amp;year=2024&amp;type=national&amp;d=6","Results")</f>
        <v/>
      </c>
    </row>
    <row r="79">
      <c r="A79" t="inlineStr">
        <is>
          <t>78</t>
        </is>
      </c>
      <c r="B79" t="inlineStr">
        <is>
          <t>Patrick Hardiman</t>
        </is>
      </c>
      <c r="C79" t="inlineStr">
        <is>
          <t>Inspire Racing Adaston Scape</t>
        </is>
      </c>
      <c r="D79" t="inlineStr">
        <is>
          <t>139</t>
        </is>
      </c>
      <c r="E79" s="2">
        <f>HYPERLINK("https://www.britishcycling.org.uk/points?person_id=869241&amp;year=2024&amp;type=national&amp;d=6","Results")</f>
        <v/>
      </c>
    </row>
    <row r="80">
      <c r="A80" t="inlineStr">
        <is>
          <t>79</t>
        </is>
      </c>
      <c r="B80" t="inlineStr">
        <is>
          <t>Oliver Lynch</t>
        </is>
      </c>
      <c r="C80" t="inlineStr">
        <is>
          <t>Derwentside CC</t>
        </is>
      </c>
      <c r="D80" t="inlineStr">
        <is>
          <t>139</t>
        </is>
      </c>
      <c r="E80" s="2">
        <f>HYPERLINK("https://www.britishcycling.org.uk/points?person_id=741502&amp;year=2024&amp;type=national&amp;d=6","Results")</f>
        <v/>
      </c>
    </row>
    <row r="81">
      <c r="A81" t="inlineStr">
        <is>
          <t>80</t>
        </is>
      </c>
      <c r="B81" t="inlineStr">
        <is>
          <t>Floyd Connor</t>
        </is>
      </c>
      <c r="C81" t="inlineStr">
        <is>
          <t>Limited Edition Cycling</t>
        </is>
      </c>
      <c r="D81" t="inlineStr">
        <is>
          <t>135</t>
        </is>
      </c>
      <c r="E81" s="2">
        <f>HYPERLINK("https://www.britishcycling.org.uk/points?person_id=1050997&amp;year=2024&amp;type=national&amp;d=6","Results")</f>
        <v/>
      </c>
    </row>
    <row r="82">
      <c r="A82" t="inlineStr">
        <is>
          <t>81</t>
        </is>
      </c>
      <c r="B82" t="inlineStr">
        <is>
          <t>Isaac Barral</t>
        </is>
      </c>
      <c r="C82" t="inlineStr">
        <is>
          <t>Stolen Goat Race Club</t>
        </is>
      </c>
      <c r="D82" t="inlineStr">
        <is>
          <t>130</t>
        </is>
      </c>
      <c r="E82" s="2">
        <f>HYPERLINK("https://www.britishcycling.org.uk/points?person_id=943106&amp;year=2024&amp;type=national&amp;d=6","Results")</f>
        <v/>
      </c>
    </row>
    <row r="83">
      <c r="A83" t="inlineStr">
        <is>
          <t>82</t>
        </is>
      </c>
      <c r="B83" t="inlineStr">
        <is>
          <t>Oscar Darton</t>
        </is>
      </c>
      <c r="C83" t="inlineStr">
        <is>
          <t>Cycle Club Ashwell (CCA)</t>
        </is>
      </c>
      <c r="D83" t="inlineStr">
        <is>
          <t>128</t>
        </is>
      </c>
      <c r="E83" s="2">
        <f>HYPERLINK("https://www.britishcycling.org.uk/points?person_id=982885&amp;year=2024&amp;type=national&amp;d=6","Results")</f>
        <v/>
      </c>
    </row>
    <row r="84">
      <c r="A84" t="inlineStr">
        <is>
          <t>83</t>
        </is>
      </c>
      <c r="B84" t="inlineStr">
        <is>
          <t>Luca Meir</t>
        </is>
      </c>
      <c r="C84" t="inlineStr">
        <is>
          <t>Palmer Park Velo RT</t>
        </is>
      </c>
      <c r="D84" t="inlineStr">
        <is>
          <t>125</t>
        </is>
      </c>
      <c r="E84" s="2">
        <f>HYPERLINK("https://www.britishcycling.org.uk/points?person_id=976953&amp;year=2024&amp;type=national&amp;d=6","Results")</f>
        <v/>
      </c>
    </row>
    <row r="85">
      <c r="A85" t="inlineStr">
        <is>
          <t>84</t>
        </is>
      </c>
      <c r="B85" t="inlineStr">
        <is>
          <t>Charlie Coleman</t>
        </is>
      </c>
      <c r="C85" t="inlineStr">
        <is>
          <t>Gannet CC</t>
        </is>
      </c>
      <c r="D85" t="inlineStr">
        <is>
          <t>124</t>
        </is>
      </c>
      <c r="E85" s="2">
        <f>HYPERLINK("https://www.britishcycling.org.uk/points?person_id=1156734&amp;year=2024&amp;type=national&amp;d=6","Results")</f>
        <v/>
      </c>
    </row>
    <row r="86">
      <c r="A86" t="inlineStr">
        <is>
          <t>85</t>
        </is>
      </c>
      <c r="B86" t="inlineStr">
        <is>
          <t>Theo Burbridge-Kelly</t>
        </is>
      </c>
      <c r="C86" t="inlineStr">
        <is>
          <t>Bristol South CC</t>
        </is>
      </c>
      <c r="D86" t="inlineStr">
        <is>
          <t>122</t>
        </is>
      </c>
      <c r="E86" s="2">
        <f>HYPERLINK("https://www.britishcycling.org.uk/points?person_id=854980&amp;year=2024&amp;type=national&amp;d=6","Results")</f>
        <v/>
      </c>
    </row>
    <row r="87">
      <c r="A87" t="inlineStr">
        <is>
          <t>86</t>
        </is>
      </c>
      <c r="B87" t="inlineStr">
        <is>
          <t>Evan Collett</t>
        </is>
      </c>
      <c r="C87" t="inlineStr">
        <is>
          <t>Kettering CC</t>
        </is>
      </c>
      <c r="D87" t="inlineStr">
        <is>
          <t>120</t>
        </is>
      </c>
      <c r="E87" s="2">
        <f>HYPERLINK("https://www.britishcycling.org.uk/points?person_id=1087568&amp;year=2024&amp;type=national&amp;d=6","Results")</f>
        <v/>
      </c>
    </row>
    <row r="88">
      <c r="A88" t="inlineStr">
        <is>
          <t>87</t>
        </is>
      </c>
      <c r="B88" t="inlineStr">
        <is>
          <t>William Gooch</t>
        </is>
      </c>
      <c r="C88" t="inlineStr">
        <is>
          <t>Palmer Park Velo RT</t>
        </is>
      </c>
      <c r="D88" t="inlineStr">
        <is>
          <t>119</t>
        </is>
      </c>
      <c r="E88" s="2">
        <f>HYPERLINK("https://www.britishcycling.org.uk/points?person_id=687058&amp;year=2024&amp;type=national&amp;d=6","Results")</f>
        <v/>
      </c>
    </row>
    <row r="89">
      <c r="A89" t="inlineStr">
        <is>
          <t>88</t>
        </is>
      </c>
      <c r="B89" t="inlineStr">
        <is>
          <t>Alexander Mullen</t>
        </is>
      </c>
      <c r="C89" t="inlineStr">
        <is>
          <t>Falkirk Junior Bike Club</t>
        </is>
      </c>
      <c r="D89" t="inlineStr">
        <is>
          <t>118</t>
        </is>
      </c>
      <c r="E89" s="2">
        <f>HYPERLINK("https://www.britishcycling.org.uk/points?person_id=828521&amp;year=2024&amp;type=national&amp;d=6","Results")</f>
        <v/>
      </c>
    </row>
    <row r="90">
      <c r="A90" t="inlineStr">
        <is>
          <t>89</t>
        </is>
      </c>
      <c r="B90" t="inlineStr">
        <is>
          <t>William Goodwin</t>
        </is>
      </c>
      <c r="C90" t="inlineStr">
        <is>
          <t>Lichfield City CC</t>
        </is>
      </c>
      <c r="D90" t="inlineStr">
        <is>
          <t>117</t>
        </is>
      </c>
      <c r="E90" s="2">
        <f>HYPERLINK("https://www.britishcycling.org.uk/points?person_id=1050534&amp;year=2024&amp;type=national&amp;d=6","Results")</f>
        <v/>
      </c>
    </row>
    <row r="91">
      <c r="A91" t="inlineStr">
        <is>
          <t>90</t>
        </is>
      </c>
      <c r="B91" t="inlineStr">
        <is>
          <t>Jenson Bradley</t>
        </is>
      </c>
      <c r="C91" t="inlineStr">
        <is>
          <t>Manilla Cycling</t>
        </is>
      </c>
      <c r="D91" t="inlineStr">
        <is>
          <t>115</t>
        </is>
      </c>
      <c r="E91" s="2">
        <f>HYPERLINK("https://www.britishcycling.org.uk/points?person_id=1048319&amp;year=2024&amp;type=national&amp;d=6","Results")</f>
        <v/>
      </c>
    </row>
    <row r="92">
      <c r="A92" t="inlineStr">
        <is>
          <t>91</t>
        </is>
      </c>
      <c r="B92" t="inlineStr">
        <is>
          <t>Freddie Cockburn</t>
        </is>
      </c>
      <c r="C92" t="inlineStr"/>
      <c r="D92" t="inlineStr">
        <is>
          <t>115</t>
        </is>
      </c>
      <c r="E92" s="2">
        <f>HYPERLINK("https://www.britishcycling.org.uk/points?person_id=1130745&amp;year=2024&amp;type=national&amp;d=6","Results")</f>
        <v/>
      </c>
    </row>
    <row r="93">
      <c r="A93" t="inlineStr">
        <is>
          <t>92</t>
        </is>
      </c>
      <c r="B93" t="inlineStr">
        <is>
          <t>Maximillian Atkins</t>
        </is>
      </c>
      <c r="C93" t="inlineStr">
        <is>
          <t>Cotswold Veldrijden</t>
        </is>
      </c>
      <c r="D93" t="inlineStr">
        <is>
          <t>114</t>
        </is>
      </c>
      <c r="E93" s="2">
        <f>HYPERLINK("https://www.britishcycling.org.uk/points?person_id=750549&amp;year=2024&amp;type=national&amp;d=6","Results")</f>
        <v/>
      </c>
    </row>
    <row r="94">
      <c r="A94" t="inlineStr">
        <is>
          <t>93</t>
        </is>
      </c>
      <c r="B94" t="inlineStr">
        <is>
          <t>Gruff Jones</t>
        </is>
      </c>
      <c r="C94" t="inlineStr">
        <is>
          <t>Rhyl Cycling Club</t>
        </is>
      </c>
      <c r="D94" t="inlineStr">
        <is>
          <t>114</t>
        </is>
      </c>
      <c r="E94" s="2">
        <f>HYPERLINK("https://www.britishcycling.org.uk/points?person_id=519402&amp;year=2024&amp;type=national&amp;d=6","Results")</f>
        <v/>
      </c>
    </row>
    <row r="95">
      <c r="A95" t="inlineStr">
        <is>
          <t>94</t>
        </is>
      </c>
      <c r="B95" t="inlineStr">
        <is>
          <t>Toby Martin</t>
        </is>
      </c>
      <c r="C95" t="inlineStr"/>
      <c r="D95" t="inlineStr">
        <is>
          <t>114</t>
        </is>
      </c>
      <c r="E95" s="2">
        <f>HYPERLINK("https://www.britishcycling.org.uk/points?person_id=839916&amp;year=2024&amp;type=national&amp;d=6","Results")</f>
        <v/>
      </c>
    </row>
    <row r="96">
      <c r="A96" t="inlineStr">
        <is>
          <t>95</t>
        </is>
      </c>
      <c r="B96" t="inlineStr">
        <is>
          <t>Ethan Senyurek-Willis</t>
        </is>
      </c>
      <c r="C96" t="inlineStr">
        <is>
          <t>Manilla Cycling</t>
        </is>
      </c>
      <c r="D96" t="inlineStr">
        <is>
          <t>112</t>
        </is>
      </c>
      <c r="E96" s="2">
        <f>HYPERLINK("https://www.britishcycling.org.uk/points?person_id=839057&amp;year=2024&amp;type=national&amp;d=6","Results")</f>
        <v/>
      </c>
    </row>
    <row r="97">
      <c r="A97" t="inlineStr">
        <is>
          <t>96</t>
        </is>
      </c>
      <c r="B97" t="inlineStr">
        <is>
          <t>Toby Uglow</t>
        </is>
      </c>
      <c r="C97" t="inlineStr">
        <is>
          <t>Dartmoor Velo</t>
        </is>
      </c>
      <c r="D97" t="inlineStr">
        <is>
          <t>110</t>
        </is>
      </c>
      <c r="E97" s="2">
        <f>HYPERLINK("https://www.britishcycling.org.uk/points?person_id=1087063&amp;year=2024&amp;type=national&amp;d=6","Results")</f>
        <v/>
      </c>
    </row>
    <row r="98">
      <c r="A98" t="inlineStr">
        <is>
          <t>97</t>
        </is>
      </c>
      <c r="B98" t="inlineStr">
        <is>
          <t>Finley Duffy</t>
        </is>
      </c>
      <c r="C98" t="inlineStr">
        <is>
          <t>Hetton Hawks Cycling Club</t>
        </is>
      </c>
      <c r="D98" t="inlineStr">
        <is>
          <t>108</t>
        </is>
      </c>
      <c r="E98" s="2">
        <f>HYPERLINK("https://www.britishcycling.org.uk/points?person_id=1062576&amp;year=2024&amp;type=national&amp;d=6","Results")</f>
        <v/>
      </c>
    </row>
    <row r="99">
      <c r="A99" t="inlineStr">
        <is>
          <t>98</t>
        </is>
      </c>
      <c r="B99" t="inlineStr">
        <is>
          <t>Thomas MacLeod</t>
        </is>
      </c>
      <c r="C99" t="inlineStr">
        <is>
          <t>Falkirk Junior Bike Club</t>
        </is>
      </c>
      <c r="D99" t="inlineStr">
        <is>
          <t>108</t>
        </is>
      </c>
      <c r="E99" s="2">
        <f>HYPERLINK("https://www.britishcycling.org.uk/points?person_id=1016422&amp;year=2024&amp;type=national&amp;d=6","Results")</f>
        <v/>
      </c>
    </row>
    <row r="100">
      <c r="A100" t="inlineStr">
        <is>
          <t>99</t>
        </is>
      </c>
      <c r="B100" t="inlineStr">
        <is>
          <t>Stanley Perkins</t>
        </is>
      </c>
      <c r="C100" t="inlineStr">
        <is>
          <t>Matlock CC</t>
        </is>
      </c>
      <c r="D100" t="inlineStr">
        <is>
          <t>103</t>
        </is>
      </c>
      <c r="E100" s="2">
        <f>HYPERLINK("https://www.britishcycling.org.uk/points?person_id=832973&amp;year=2024&amp;type=national&amp;d=6","Results")</f>
        <v/>
      </c>
    </row>
    <row r="101">
      <c r="A101" t="inlineStr">
        <is>
          <t>100</t>
        </is>
      </c>
      <c r="B101" t="inlineStr">
        <is>
          <t>Daniel Breedon</t>
        </is>
      </c>
      <c r="C101" t="inlineStr">
        <is>
          <t>Harrogate Nova CC</t>
        </is>
      </c>
      <c r="D101" t="inlineStr">
        <is>
          <t>102</t>
        </is>
      </c>
      <c r="E101" s="2">
        <f>HYPERLINK("https://www.britishcycling.org.uk/points?person_id=713560&amp;year=2024&amp;type=national&amp;d=6","Results")</f>
        <v/>
      </c>
    </row>
    <row r="102">
      <c r="A102" t="inlineStr">
        <is>
          <t>101</t>
        </is>
      </c>
      <c r="B102" t="inlineStr">
        <is>
          <t>Joss Wood</t>
        </is>
      </c>
      <c r="C102" t="inlineStr">
        <is>
          <t>Kendal Cycle Club</t>
        </is>
      </c>
      <c r="D102" t="inlineStr">
        <is>
          <t>100</t>
        </is>
      </c>
      <c r="E102" s="2">
        <f>HYPERLINK("https://www.britishcycling.org.uk/points?person_id=1026771&amp;year=2024&amp;type=national&amp;d=6","Results")</f>
        <v/>
      </c>
    </row>
    <row r="103">
      <c r="A103" t="inlineStr">
        <is>
          <t>102</t>
        </is>
      </c>
      <c r="B103" t="inlineStr">
        <is>
          <t>Toby Alderson</t>
        </is>
      </c>
      <c r="C103" t="inlineStr">
        <is>
          <t>4T+ Cyclopark</t>
        </is>
      </c>
      <c r="D103" t="inlineStr">
        <is>
          <t>99</t>
        </is>
      </c>
      <c r="E103" s="2">
        <f>HYPERLINK("https://www.britishcycling.org.uk/points?person_id=904747&amp;year=2024&amp;type=national&amp;d=6","Results")</f>
        <v/>
      </c>
    </row>
    <row r="104">
      <c r="A104" t="inlineStr">
        <is>
          <t>103</t>
        </is>
      </c>
      <c r="B104" t="inlineStr">
        <is>
          <t>Harry Donald</t>
        </is>
      </c>
      <c r="C104" t="inlineStr">
        <is>
          <t>Leicester Forest CC</t>
        </is>
      </c>
      <c r="D104" t="inlineStr">
        <is>
          <t>98</t>
        </is>
      </c>
      <c r="E104" s="2">
        <f>HYPERLINK("https://www.britishcycling.org.uk/points?person_id=658156&amp;year=2024&amp;type=national&amp;d=6","Results")</f>
        <v/>
      </c>
    </row>
    <row r="105">
      <c r="A105" t="inlineStr">
        <is>
          <t>104</t>
        </is>
      </c>
      <c r="B105" t="inlineStr">
        <is>
          <t>Angus Gillies</t>
        </is>
      </c>
      <c r="C105" t="inlineStr">
        <is>
          <t>Hadleigh Cycling Club</t>
        </is>
      </c>
      <c r="D105" t="inlineStr">
        <is>
          <t>98</t>
        </is>
      </c>
      <c r="E105" s="2">
        <f>HYPERLINK("https://www.britishcycling.org.uk/points?person_id=1130587&amp;year=2024&amp;type=national&amp;d=6","Results")</f>
        <v/>
      </c>
    </row>
    <row r="106">
      <c r="A106" t="inlineStr">
        <is>
          <t>105</t>
        </is>
      </c>
      <c r="B106" t="inlineStr">
        <is>
          <t>Nathaniel Obertelli</t>
        </is>
      </c>
      <c r="C106" t="inlineStr">
        <is>
          <t>360cycling</t>
        </is>
      </c>
      <c r="D106" t="inlineStr">
        <is>
          <t>96</t>
        </is>
      </c>
      <c r="E106" s="2">
        <f>HYPERLINK("https://www.britishcycling.org.uk/points?person_id=560919&amp;year=2024&amp;type=national&amp;d=6","Results")</f>
        <v/>
      </c>
    </row>
    <row r="107">
      <c r="A107" t="inlineStr">
        <is>
          <t>106</t>
        </is>
      </c>
      <c r="B107" t="inlineStr">
        <is>
          <t>Lukas Barton</t>
        </is>
      </c>
      <c r="C107" t="inlineStr">
        <is>
          <t>Sheffield Youth Cycling Club</t>
        </is>
      </c>
      <c r="D107" t="inlineStr">
        <is>
          <t>95</t>
        </is>
      </c>
      <c r="E107" s="2">
        <f>HYPERLINK("https://www.britishcycling.org.uk/points?person_id=902727&amp;year=2024&amp;type=national&amp;d=6","Results")</f>
        <v/>
      </c>
    </row>
    <row r="108">
      <c r="A108" t="inlineStr">
        <is>
          <t>107</t>
        </is>
      </c>
      <c r="B108" t="inlineStr">
        <is>
          <t>Oliver Hughes</t>
        </is>
      </c>
      <c r="C108" t="inlineStr">
        <is>
          <t>Rhyl Cycling Club</t>
        </is>
      </c>
      <c r="D108" t="inlineStr">
        <is>
          <t>95</t>
        </is>
      </c>
      <c r="E108" s="2">
        <f>HYPERLINK("https://www.britishcycling.org.uk/points?person_id=691303&amp;year=2024&amp;type=national&amp;d=6","Results")</f>
        <v/>
      </c>
    </row>
    <row r="109">
      <c r="A109" t="inlineStr">
        <is>
          <t>108</t>
        </is>
      </c>
      <c r="B109" t="inlineStr">
        <is>
          <t>Raphael Vesey Holt</t>
        </is>
      </c>
      <c r="C109" t="inlineStr">
        <is>
          <t>Preston Park Youth CC (PPYCC)</t>
        </is>
      </c>
      <c r="D109" t="inlineStr">
        <is>
          <t>95</t>
        </is>
      </c>
      <c r="E109" s="2">
        <f>HYPERLINK("https://www.britishcycling.org.uk/points?person_id=1042811&amp;year=2024&amp;type=national&amp;d=6","Results")</f>
        <v/>
      </c>
    </row>
    <row r="110">
      <c r="A110" t="inlineStr">
        <is>
          <t>109</t>
        </is>
      </c>
      <c r="B110" t="inlineStr">
        <is>
          <t>Taylor Green</t>
        </is>
      </c>
      <c r="C110" t="inlineStr">
        <is>
          <t>Barking &amp; Dagenham CC</t>
        </is>
      </c>
      <c r="D110" t="inlineStr">
        <is>
          <t>94</t>
        </is>
      </c>
      <c r="E110" s="2">
        <f>HYPERLINK("https://www.britishcycling.org.uk/points?person_id=1118722&amp;year=2024&amp;type=national&amp;d=6","Results")</f>
        <v/>
      </c>
    </row>
    <row r="111">
      <c r="A111" t="inlineStr">
        <is>
          <t>110</t>
        </is>
      </c>
      <c r="B111" t="inlineStr">
        <is>
          <t>Benjamin Simcock</t>
        </is>
      </c>
      <c r="C111" t="inlineStr">
        <is>
          <t>Mid Devon CC</t>
        </is>
      </c>
      <c r="D111" t="inlineStr">
        <is>
          <t>94</t>
        </is>
      </c>
      <c r="E111" s="2">
        <f>HYPERLINK("https://www.britishcycling.org.uk/points?person_id=897241&amp;year=2024&amp;type=national&amp;d=6","Results")</f>
        <v/>
      </c>
    </row>
    <row r="112">
      <c r="A112" t="inlineStr">
        <is>
          <t>111</t>
        </is>
      </c>
      <c r="B112" t="inlineStr">
        <is>
          <t>Harry Malthouse</t>
        </is>
      </c>
      <c r="C112" t="inlineStr">
        <is>
          <t>Dartmoor Velo</t>
        </is>
      </c>
      <c r="D112" t="inlineStr">
        <is>
          <t>92</t>
        </is>
      </c>
      <c r="E112" s="2">
        <f>HYPERLINK("https://www.britishcycling.org.uk/points?person_id=1080544&amp;year=2024&amp;type=national&amp;d=6","Results")</f>
        <v/>
      </c>
    </row>
    <row r="113">
      <c r="A113" t="inlineStr">
        <is>
          <t>112</t>
        </is>
      </c>
      <c r="B113" t="inlineStr">
        <is>
          <t>Louis Stanton-Spencer</t>
        </is>
      </c>
      <c r="C113" t="inlineStr">
        <is>
          <t>Shibden Cycling Club</t>
        </is>
      </c>
      <c r="D113" t="inlineStr">
        <is>
          <t>91</t>
        </is>
      </c>
      <c r="E113" s="2">
        <f>HYPERLINK("https://www.britishcycling.org.uk/points?person_id=771083&amp;year=2024&amp;type=national&amp;d=6","Results")</f>
        <v/>
      </c>
    </row>
    <row r="114">
      <c r="A114" t="inlineStr">
        <is>
          <t>113</t>
        </is>
      </c>
      <c r="B114" t="inlineStr">
        <is>
          <t>Callum Ross</t>
        </is>
      </c>
      <c r="C114" t="inlineStr">
        <is>
          <t>Falkirk Junior Bike Club</t>
        </is>
      </c>
      <c r="D114" t="inlineStr">
        <is>
          <t>90</t>
        </is>
      </c>
      <c r="E114" s="2">
        <f>HYPERLINK("https://www.britishcycling.org.uk/points?person_id=1087282&amp;year=2024&amp;type=national&amp;d=6","Results")</f>
        <v/>
      </c>
    </row>
    <row r="115">
      <c r="A115" t="inlineStr">
        <is>
          <t>114</t>
        </is>
      </c>
      <c r="B115" t="inlineStr">
        <is>
          <t>Daniel Shipton</t>
        </is>
      </c>
      <c r="C115" t="inlineStr">
        <is>
          <t>Manilla Cycling</t>
        </is>
      </c>
      <c r="D115" t="inlineStr">
        <is>
          <t>88</t>
        </is>
      </c>
      <c r="E115" s="2">
        <f>HYPERLINK("https://www.britishcycling.org.uk/points?person_id=817186&amp;year=2024&amp;type=national&amp;d=6","Results")</f>
        <v/>
      </c>
    </row>
    <row r="116">
      <c r="A116" t="inlineStr">
        <is>
          <t>115</t>
        </is>
      </c>
      <c r="B116" t="inlineStr">
        <is>
          <t>Max Leinemann</t>
        </is>
      </c>
      <c r="C116" t="inlineStr">
        <is>
          <t>Colchester Rovers CC</t>
        </is>
      </c>
      <c r="D116" t="inlineStr">
        <is>
          <t>87</t>
        </is>
      </c>
      <c r="E116" s="2">
        <f>HYPERLINK("https://www.britishcycling.org.uk/points?person_id=938427&amp;year=2024&amp;type=national&amp;d=6","Results")</f>
        <v/>
      </c>
    </row>
    <row r="117">
      <c r="A117" t="inlineStr">
        <is>
          <t>116</t>
        </is>
      </c>
      <c r="B117" t="inlineStr">
        <is>
          <t>Ieuan Williams-Powell</t>
        </is>
      </c>
      <c r="C117" t="inlineStr"/>
      <c r="D117" t="inlineStr">
        <is>
          <t>87</t>
        </is>
      </c>
      <c r="E117" s="2">
        <f>HYPERLINK("https://www.britishcycling.org.uk/points?person_id=1047011&amp;year=2024&amp;type=national&amp;d=6","Results")</f>
        <v/>
      </c>
    </row>
    <row r="118">
      <c r="A118" t="inlineStr">
        <is>
          <t>117</t>
        </is>
      </c>
      <c r="B118" t="inlineStr">
        <is>
          <t>Hamish Crichton</t>
        </is>
      </c>
      <c r="C118" t="inlineStr">
        <is>
          <t>Cambridge Junior Cycling Club</t>
        </is>
      </c>
      <c r="D118" t="inlineStr">
        <is>
          <t>86</t>
        </is>
      </c>
      <c r="E118" s="2">
        <f>HYPERLINK("https://www.britishcycling.org.uk/points?person_id=859391&amp;year=2024&amp;type=national&amp;d=6","Results")</f>
        <v/>
      </c>
    </row>
    <row r="119">
      <c r="A119" t="inlineStr">
        <is>
          <t>118</t>
        </is>
      </c>
      <c r="B119" t="inlineStr">
        <is>
          <t>Angus Dowens</t>
        </is>
      </c>
      <c r="C119" t="inlineStr">
        <is>
          <t>West Lothian Clarion CC</t>
        </is>
      </c>
      <c r="D119" t="inlineStr">
        <is>
          <t>86</t>
        </is>
      </c>
      <c r="E119" s="2">
        <f>HYPERLINK("https://www.britishcycling.org.uk/points?person_id=931374&amp;year=2024&amp;type=national&amp;d=6","Results")</f>
        <v/>
      </c>
    </row>
    <row r="120">
      <c r="A120" t="inlineStr">
        <is>
          <t>119</t>
        </is>
      </c>
      <c r="B120" t="inlineStr">
        <is>
          <t>Cadan Lloyd-Jones</t>
        </is>
      </c>
      <c r="C120" t="inlineStr">
        <is>
          <t>Clancy Briggs Cycling Academy</t>
        </is>
      </c>
      <c r="D120" t="inlineStr">
        <is>
          <t>86</t>
        </is>
      </c>
      <c r="E120" s="2">
        <f>HYPERLINK("https://www.britishcycling.org.uk/points?person_id=662633&amp;year=2024&amp;type=national&amp;d=6","Results")</f>
        <v/>
      </c>
    </row>
    <row r="121">
      <c r="A121" t="inlineStr">
        <is>
          <t>120</t>
        </is>
      </c>
      <c r="B121" t="inlineStr">
        <is>
          <t>Adam Hardisty</t>
        </is>
      </c>
      <c r="C121" t="inlineStr">
        <is>
          <t>Nottingham Clarion CC</t>
        </is>
      </c>
      <c r="D121" t="inlineStr">
        <is>
          <t>85</t>
        </is>
      </c>
      <c r="E121" s="2">
        <f>HYPERLINK("https://www.britishcycling.org.uk/points?person_id=854099&amp;year=2024&amp;type=national&amp;d=6","Results")</f>
        <v/>
      </c>
    </row>
    <row r="122">
      <c r="A122" t="inlineStr">
        <is>
          <t>121</t>
        </is>
      </c>
      <c r="B122" t="inlineStr">
        <is>
          <t>Aneurin Gilbert</t>
        </is>
      </c>
      <c r="C122" t="inlineStr">
        <is>
          <t>Sotonia CC</t>
        </is>
      </c>
      <c r="D122" t="inlineStr">
        <is>
          <t>84</t>
        </is>
      </c>
      <c r="E122" s="2">
        <f>HYPERLINK("https://www.britishcycling.org.uk/points?person_id=1033339&amp;year=2024&amp;type=national&amp;d=6","Results")</f>
        <v/>
      </c>
    </row>
    <row r="123">
      <c r="A123" t="inlineStr">
        <is>
          <t>122</t>
        </is>
      </c>
      <c r="B123" t="inlineStr">
        <is>
          <t>Ruben Delbeke</t>
        </is>
      </c>
      <c r="C123" t="inlineStr">
        <is>
          <t>Stratford CC</t>
        </is>
      </c>
      <c r="D123" t="inlineStr">
        <is>
          <t>82</t>
        </is>
      </c>
      <c r="E123" s="2">
        <f>HYPERLINK("https://www.britishcycling.org.uk/points?person_id=1119290&amp;year=2024&amp;type=national&amp;d=6","Results")</f>
        <v/>
      </c>
    </row>
    <row r="124">
      <c r="A124" t="inlineStr">
        <is>
          <t>123</t>
        </is>
      </c>
      <c r="B124" t="inlineStr">
        <is>
          <t>Ethan Kidd</t>
        </is>
      </c>
      <c r="C124" t="inlineStr">
        <is>
          <t>Falkirk Junior Bike Club</t>
        </is>
      </c>
      <c r="D124" t="inlineStr">
        <is>
          <t>81</t>
        </is>
      </c>
      <c r="E124" s="2">
        <f>HYPERLINK("https://www.britishcycling.org.uk/points?person_id=1158415&amp;year=2024&amp;type=national&amp;d=6","Results")</f>
        <v/>
      </c>
    </row>
    <row r="125">
      <c r="A125" t="inlineStr">
        <is>
          <t>124</t>
        </is>
      </c>
      <c r="B125" t="inlineStr">
        <is>
          <t>Harrison Lamb</t>
        </is>
      </c>
      <c r="C125" t="inlineStr">
        <is>
          <t>NSP Cycling Team</t>
        </is>
      </c>
      <c r="D125" t="inlineStr">
        <is>
          <t>80</t>
        </is>
      </c>
      <c r="E125" s="2">
        <f>HYPERLINK("https://www.britishcycling.org.uk/points?person_id=996176&amp;year=2024&amp;type=national&amp;d=6","Results")</f>
        <v/>
      </c>
    </row>
    <row r="126">
      <c r="A126" t="inlineStr">
        <is>
          <t>125</t>
        </is>
      </c>
      <c r="B126" t="inlineStr">
        <is>
          <t>Ned Mcclintock</t>
        </is>
      </c>
      <c r="C126" t="inlineStr">
        <is>
          <t>Allen Valley Velo</t>
        </is>
      </c>
      <c r="D126" t="inlineStr">
        <is>
          <t>80</t>
        </is>
      </c>
      <c r="E126" s="2">
        <f>HYPERLINK("https://www.britishcycling.org.uk/points?person_id=1158807&amp;year=2024&amp;type=national&amp;d=6","Results")</f>
        <v/>
      </c>
    </row>
    <row r="127">
      <c r="A127" t="inlineStr">
        <is>
          <t>126</t>
        </is>
      </c>
      <c r="B127" t="inlineStr">
        <is>
          <t>Finley Gibbon</t>
        </is>
      </c>
      <c r="C127" t="inlineStr">
        <is>
          <t>Hetton Hawks Cycling Club</t>
        </is>
      </c>
      <c r="D127" t="inlineStr">
        <is>
          <t>77</t>
        </is>
      </c>
      <c r="E127" s="2">
        <f>HYPERLINK("https://www.britishcycling.org.uk/points?person_id=837805&amp;year=2024&amp;type=national&amp;d=6","Results")</f>
        <v/>
      </c>
    </row>
    <row r="128">
      <c r="A128" t="inlineStr">
        <is>
          <t>127</t>
        </is>
      </c>
      <c r="B128" t="inlineStr">
        <is>
          <t>Theodore Moseley</t>
        </is>
      </c>
      <c r="C128" t="inlineStr">
        <is>
          <t>Cycle Stars</t>
        </is>
      </c>
      <c r="D128" t="inlineStr">
        <is>
          <t>77</t>
        </is>
      </c>
      <c r="E128" s="2">
        <f>HYPERLINK("https://www.britishcycling.org.uk/points?person_id=1014558&amp;year=2024&amp;type=national&amp;d=6","Results")</f>
        <v/>
      </c>
    </row>
    <row r="129">
      <c r="A129" t="inlineStr">
        <is>
          <t>128</t>
        </is>
      </c>
      <c r="B129" t="inlineStr">
        <is>
          <t>Henry Lockett</t>
        </is>
      </c>
      <c r="C129" t="inlineStr">
        <is>
          <t>West Lothian Clarion CC</t>
        </is>
      </c>
      <c r="D129" t="inlineStr">
        <is>
          <t>76</t>
        </is>
      </c>
      <c r="E129" s="2">
        <f>HYPERLINK("https://www.britishcycling.org.uk/points?person_id=1134878&amp;year=2024&amp;type=national&amp;d=6","Results")</f>
        <v/>
      </c>
    </row>
    <row r="130">
      <c r="A130" t="inlineStr">
        <is>
          <t>129</t>
        </is>
      </c>
      <c r="B130" t="inlineStr">
        <is>
          <t>Aaron Tresidder</t>
        </is>
      </c>
      <c r="C130" t="inlineStr">
        <is>
          <t>West Highland Wheelers</t>
        </is>
      </c>
      <c r="D130" t="inlineStr">
        <is>
          <t>72</t>
        </is>
      </c>
      <c r="E130" s="2">
        <f>HYPERLINK("https://www.britishcycling.org.uk/points?person_id=1135163&amp;year=2024&amp;type=national&amp;d=6","Results")</f>
        <v/>
      </c>
    </row>
    <row r="131">
      <c r="A131" t="inlineStr">
        <is>
          <t>130</t>
        </is>
      </c>
      <c r="B131" t="inlineStr">
        <is>
          <t>Morgan Gilbert</t>
        </is>
      </c>
      <c r="C131" t="inlineStr">
        <is>
          <t>Sotonia CC</t>
        </is>
      </c>
      <c r="D131" t="inlineStr">
        <is>
          <t>71</t>
        </is>
      </c>
      <c r="E131" s="2">
        <f>HYPERLINK("https://www.britishcycling.org.uk/points?person_id=1033341&amp;year=2024&amp;type=national&amp;d=6","Results")</f>
        <v/>
      </c>
    </row>
    <row r="132">
      <c r="A132" t="inlineStr">
        <is>
          <t>131</t>
        </is>
      </c>
      <c r="B132" t="inlineStr">
        <is>
          <t>Joe Kendall</t>
        </is>
      </c>
      <c r="C132" t="inlineStr">
        <is>
          <t>North Cheshire Clarion</t>
        </is>
      </c>
      <c r="D132" t="inlineStr">
        <is>
          <t>71</t>
        </is>
      </c>
      <c r="E132" s="2">
        <f>HYPERLINK("https://www.britishcycling.org.uk/points?person_id=1007823&amp;year=2024&amp;type=national&amp;d=6","Results")</f>
        <v/>
      </c>
    </row>
    <row r="133">
      <c r="A133" t="inlineStr">
        <is>
          <t>132</t>
        </is>
      </c>
      <c r="B133" t="inlineStr">
        <is>
          <t>Jude Tippins</t>
        </is>
      </c>
      <c r="C133" t="inlineStr">
        <is>
          <t>4T+ Cyclopark</t>
        </is>
      </c>
      <c r="D133" t="inlineStr">
        <is>
          <t>71</t>
        </is>
      </c>
      <c r="E133" s="2">
        <f>HYPERLINK("https://www.britishcycling.org.uk/points?person_id=1037580&amp;year=2024&amp;type=national&amp;d=6","Results")</f>
        <v/>
      </c>
    </row>
    <row r="134">
      <c r="A134" t="inlineStr">
        <is>
          <t>133</t>
        </is>
      </c>
      <c r="B134" t="inlineStr">
        <is>
          <t>Lucas Cotton</t>
        </is>
      </c>
      <c r="C134" t="inlineStr">
        <is>
          <t>Velo Club Lincoln</t>
        </is>
      </c>
      <c r="D134" t="inlineStr">
        <is>
          <t>70</t>
        </is>
      </c>
      <c r="E134" s="2">
        <f>HYPERLINK("https://www.britishcycling.org.uk/points?person_id=885251&amp;year=2024&amp;type=national&amp;d=6","Results")</f>
        <v/>
      </c>
    </row>
    <row r="135">
      <c r="A135" t="inlineStr">
        <is>
          <t>134</t>
        </is>
      </c>
      <c r="B135" t="inlineStr">
        <is>
          <t>Zachary Moore</t>
        </is>
      </c>
      <c r="C135" t="inlineStr">
        <is>
          <t>Wheal Velocity</t>
        </is>
      </c>
      <c r="D135" t="inlineStr">
        <is>
          <t>68</t>
        </is>
      </c>
      <c r="E135" s="2">
        <f>HYPERLINK("https://www.britishcycling.org.uk/points?person_id=1088437&amp;year=2024&amp;type=national&amp;d=6","Results")</f>
        <v/>
      </c>
    </row>
    <row r="136">
      <c r="A136" t="inlineStr">
        <is>
          <t>135</t>
        </is>
      </c>
      <c r="B136" t="inlineStr">
        <is>
          <t>Toby Leavis</t>
        </is>
      </c>
      <c r="C136" t="inlineStr">
        <is>
          <t>Derby Mercury RC</t>
        </is>
      </c>
      <c r="D136" t="inlineStr">
        <is>
          <t>66</t>
        </is>
      </c>
      <c r="E136" s="2">
        <f>HYPERLINK("https://www.britishcycling.org.uk/points?person_id=599885&amp;year=2024&amp;type=national&amp;d=6","Results")</f>
        <v/>
      </c>
    </row>
    <row r="137">
      <c r="A137" t="inlineStr">
        <is>
          <t>136</t>
        </is>
      </c>
      <c r="B137" t="inlineStr">
        <is>
          <t>Edward Worsley</t>
        </is>
      </c>
      <c r="C137" t="inlineStr">
        <is>
          <t>Calder Clarion CC</t>
        </is>
      </c>
      <c r="D137" t="inlineStr">
        <is>
          <t>66</t>
        </is>
      </c>
      <c r="E137" s="2">
        <f>HYPERLINK("https://www.britishcycling.org.uk/points?person_id=1135613&amp;year=2024&amp;type=national&amp;d=6","Results")</f>
        <v/>
      </c>
    </row>
    <row r="138">
      <c r="A138" t="inlineStr">
        <is>
          <t>137</t>
        </is>
      </c>
      <c r="B138" t="inlineStr">
        <is>
          <t>Rory Harrison</t>
        </is>
      </c>
      <c r="C138" t="inlineStr">
        <is>
          <t>Welland Valley CC</t>
        </is>
      </c>
      <c r="D138" t="inlineStr">
        <is>
          <t>64</t>
        </is>
      </c>
      <c r="E138" s="2">
        <f>HYPERLINK("https://www.britishcycling.org.uk/points?person_id=1029344&amp;year=2024&amp;type=national&amp;d=6","Results")</f>
        <v/>
      </c>
    </row>
    <row r="139">
      <c r="A139" t="inlineStr">
        <is>
          <t>138</t>
        </is>
      </c>
      <c r="B139" t="inlineStr">
        <is>
          <t>Barnaby Smith</t>
        </is>
      </c>
      <c r="C139" t="inlineStr">
        <is>
          <t>GKR Racing</t>
        </is>
      </c>
      <c r="D139" t="inlineStr">
        <is>
          <t>64</t>
        </is>
      </c>
      <c r="E139" s="2">
        <f>HYPERLINK("https://www.britishcycling.org.uk/points?person_id=616847&amp;year=2024&amp;type=national&amp;d=6","Results")</f>
        <v/>
      </c>
    </row>
    <row r="140">
      <c r="A140" t="inlineStr">
        <is>
          <t>139</t>
        </is>
      </c>
      <c r="B140" t="inlineStr">
        <is>
          <t>Luca El-Labany</t>
        </is>
      </c>
      <c r="C140" t="inlineStr">
        <is>
          <t>Iceni Velo</t>
        </is>
      </c>
      <c r="D140" t="inlineStr">
        <is>
          <t>63</t>
        </is>
      </c>
      <c r="E140" s="2">
        <f>HYPERLINK("https://www.britishcycling.org.uk/points?person_id=904023&amp;year=2024&amp;type=national&amp;d=6","Results")</f>
        <v/>
      </c>
    </row>
    <row r="141">
      <c r="A141" t="inlineStr">
        <is>
          <t>140</t>
        </is>
      </c>
      <c r="B141" t="inlineStr">
        <is>
          <t>Leo Barker</t>
        </is>
      </c>
      <c r="C141" t="inlineStr">
        <is>
          <t>Shibden Cycling Club</t>
        </is>
      </c>
      <c r="D141" t="inlineStr">
        <is>
          <t>60</t>
        </is>
      </c>
      <c r="E141" s="2">
        <f>HYPERLINK("https://www.britishcycling.org.uk/points?person_id=654700&amp;year=2024&amp;type=national&amp;d=6","Results")</f>
        <v/>
      </c>
    </row>
    <row r="142">
      <c r="A142" t="inlineStr">
        <is>
          <t>141</t>
        </is>
      </c>
      <c r="B142" t="inlineStr">
        <is>
          <t>Theo Firth</t>
        </is>
      </c>
      <c r="C142" t="inlineStr">
        <is>
          <t>East Bradford CC</t>
        </is>
      </c>
      <c r="D142" t="inlineStr">
        <is>
          <t>59</t>
        </is>
      </c>
      <c r="E142" s="2">
        <f>HYPERLINK("https://www.britishcycling.org.uk/points?person_id=1141568&amp;year=2024&amp;type=national&amp;d=6","Results")</f>
        <v/>
      </c>
    </row>
    <row r="143">
      <c r="A143" t="inlineStr">
        <is>
          <t>142</t>
        </is>
      </c>
      <c r="B143" t="inlineStr">
        <is>
          <t>Joseph Cass</t>
        </is>
      </c>
      <c r="C143" t="inlineStr">
        <is>
          <t>Wigmore CC</t>
        </is>
      </c>
      <c r="D143" t="inlineStr">
        <is>
          <t>58</t>
        </is>
      </c>
      <c r="E143" s="2">
        <f>HYPERLINK("https://www.britishcycling.org.uk/points?person_id=987937&amp;year=2024&amp;type=national&amp;d=6","Results")</f>
        <v/>
      </c>
    </row>
    <row r="144">
      <c r="A144" t="inlineStr">
        <is>
          <t>143</t>
        </is>
      </c>
      <c r="B144" t="inlineStr">
        <is>
          <t>Emrys Hopping</t>
        </is>
      </c>
      <c r="C144" t="inlineStr">
        <is>
          <t>Sutton Cycling Club</t>
        </is>
      </c>
      <c r="D144" t="inlineStr">
        <is>
          <t>58</t>
        </is>
      </c>
      <c r="E144" s="2">
        <f>HYPERLINK("https://www.britishcycling.org.uk/points?person_id=807909&amp;year=2024&amp;type=national&amp;d=6","Results")</f>
        <v/>
      </c>
    </row>
    <row r="145">
      <c r="A145" t="inlineStr">
        <is>
          <t>144</t>
        </is>
      </c>
      <c r="B145" t="inlineStr">
        <is>
          <t>Max MacPherson</t>
        </is>
      </c>
      <c r="C145" t="inlineStr">
        <is>
          <t>Oneplanet Adventure</t>
        </is>
      </c>
      <c r="D145" t="inlineStr">
        <is>
          <t>57</t>
        </is>
      </c>
      <c r="E145" s="2">
        <f>HYPERLINK("https://www.britishcycling.org.uk/points?person_id=981600&amp;year=2024&amp;type=national&amp;d=6","Results")</f>
        <v/>
      </c>
    </row>
    <row r="146">
      <c r="A146" t="inlineStr">
        <is>
          <t>145</t>
        </is>
      </c>
      <c r="B146" t="inlineStr">
        <is>
          <t>Billy Mcclintock</t>
        </is>
      </c>
      <c r="C146" t="inlineStr">
        <is>
          <t>Allen Valley Velo</t>
        </is>
      </c>
      <c r="D146" t="inlineStr">
        <is>
          <t>57</t>
        </is>
      </c>
      <c r="E146" s="2">
        <f>HYPERLINK("https://www.britishcycling.org.uk/points?person_id=1158808&amp;year=2024&amp;type=national&amp;d=6","Results")</f>
        <v/>
      </c>
    </row>
    <row r="147">
      <c r="A147" t="inlineStr">
        <is>
          <t>146</t>
        </is>
      </c>
      <c r="B147" t="inlineStr">
        <is>
          <t>Oliver Coefield</t>
        </is>
      </c>
      <c r="C147" t="inlineStr">
        <is>
          <t>Sheffield Youth Cycling Club</t>
        </is>
      </c>
      <c r="D147" t="inlineStr">
        <is>
          <t>56</t>
        </is>
      </c>
      <c r="E147" s="2">
        <f>HYPERLINK("https://www.britishcycling.org.uk/points?person_id=852560&amp;year=2024&amp;type=national&amp;d=6","Results")</f>
        <v/>
      </c>
    </row>
    <row r="148">
      <c r="A148" t="inlineStr">
        <is>
          <t>147</t>
        </is>
      </c>
      <c r="B148" t="inlineStr">
        <is>
          <t>Harley Clarke</t>
        </is>
      </c>
      <c r="C148" t="inlineStr">
        <is>
          <t>Preston Park Youth CC (PPYCC)</t>
        </is>
      </c>
      <c r="D148" t="inlineStr">
        <is>
          <t>55</t>
        </is>
      </c>
      <c r="E148" s="2">
        <f>HYPERLINK("https://www.britishcycling.org.uk/points?person_id=885914&amp;year=2024&amp;type=national&amp;d=6","Results")</f>
        <v/>
      </c>
    </row>
    <row r="149">
      <c r="A149" t="inlineStr">
        <is>
          <t>148</t>
        </is>
      </c>
      <c r="B149" t="inlineStr">
        <is>
          <t>Oscar Delbeke</t>
        </is>
      </c>
      <c r="C149" t="inlineStr">
        <is>
          <t>Stratford CC</t>
        </is>
      </c>
      <c r="D149" t="inlineStr">
        <is>
          <t>55</t>
        </is>
      </c>
      <c r="E149" s="2">
        <f>HYPERLINK("https://www.britishcycling.org.uk/points?person_id=1119288&amp;year=2024&amp;type=national&amp;d=6","Results")</f>
        <v/>
      </c>
    </row>
    <row r="150">
      <c r="A150" t="inlineStr">
        <is>
          <t>149</t>
        </is>
      </c>
      <c r="B150" t="inlineStr">
        <is>
          <t>Noah Farguson</t>
        </is>
      </c>
      <c r="C150" t="inlineStr">
        <is>
          <t>Leicester Forest CC</t>
        </is>
      </c>
      <c r="D150" t="inlineStr">
        <is>
          <t>54</t>
        </is>
      </c>
      <c r="E150" s="2">
        <f>HYPERLINK("https://www.britishcycling.org.uk/points?person_id=839699&amp;year=2024&amp;type=national&amp;d=6","Results")</f>
        <v/>
      </c>
    </row>
    <row r="151">
      <c r="A151" t="inlineStr">
        <is>
          <t>150</t>
        </is>
      </c>
      <c r="B151" t="inlineStr">
        <is>
          <t>Charles Parry</t>
        </is>
      </c>
      <c r="C151" t="inlineStr">
        <is>
          <t>Shibden Cycling Club</t>
        </is>
      </c>
      <c r="D151" t="inlineStr">
        <is>
          <t>54</t>
        </is>
      </c>
      <c r="E151" s="2">
        <f>HYPERLINK("https://www.britishcycling.org.uk/points?person_id=773569&amp;year=2024&amp;type=national&amp;d=6","Results")</f>
        <v/>
      </c>
    </row>
    <row r="152">
      <c r="A152" t="inlineStr">
        <is>
          <t>151</t>
        </is>
      </c>
      <c r="B152" t="inlineStr">
        <is>
          <t>Oliver Owen</t>
        </is>
      </c>
      <c r="C152" t="inlineStr">
        <is>
          <t>Stratford CC</t>
        </is>
      </c>
      <c r="D152" t="inlineStr">
        <is>
          <t>53</t>
        </is>
      </c>
      <c r="E152" s="2">
        <f>HYPERLINK("https://www.britishcycling.org.uk/points?person_id=1003240&amp;year=2024&amp;type=national&amp;d=6","Results")</f>
        <v/>
      </c>
    </row>
    <row r="153">
      <c r="A153" t="inlineStr">
        <is>
          <t>152</t>
        </is>
      </c>
      <c r="B153" t="inlineStr">
        <is>
          <t>Red Johnson</t>
        </is>
      </c>
      <c r="C153" t="inlineStr">
        <is>
          <t>360cycling</t>
        </is>
      </c>
      <c r="D153" t="inlineStr">
        <is>
          <t>52</t>
        </is>
      </c>
      <c r="E153" s="2">
        <f>HYPERLINK("https://www.britishcycling.org.uk/points?person_id=876532&amp;year=2024&amp;type=national&amp;d=6","Results")</f>
        <v/>
      </c>
    </row>
    <row r="154">
      <c r="A154" t="inlineStr">
        <is>
          <t>153</t>
        </is>
      </c>
      <c r="B154" t="inlineStr">
        <is>
          <t>Oliver King</t>
        </is>
      </c>
      <c r="C154" t="inlineStr">
        <is>
          <t>Hadleigh Cycling Club</t>
        </is>
      </c>
      <c r="D154" t="inlineStr">
        <is>
          <t>52</t>
        </is>
      </c>
      <c r="E154" s="2">
        <f>HYPERLINK("https://www.britishcycling.org.uk/points?person_id=1023442&amp;year=2024&amp;type=national&amp;d=6","Results")</f>
        <v/>
      </c>
    </row>
    <row r="155">
      <c r="A155" t="inlineStr">
        <is>
          <t>154</t>
        </is>
      </c>
      <c r="B155" t="inlineStr">
        <is>
          <t>Henry Boyles</t>
        </is>
      </c>
      <c r="C155" t="inlineStr">
        <is>
          <t>Banbury Star CC</t>
        </is>
      </c>
      <c r="D155" t="inlineStr">
        <is>
          <t>51</t>
        </is>
      </c>
      <c r="E155" s="2">
        <f>HYPERLINK("https://www.britishcycling.org.uk/points?person_id=987720&amp;year=2024&amp;type=national&amp;d=6","Results")</f>
        <v/>
      </c>
    </row>
    <row r="156">
      <c r="A156" t="inlineStr">
        <is>
          <t>155</t>
        </is>
      </c>
      <c r="B156" t="inlineStr">
        <is>
          <t>Nathaniel Parkin</t>
        </is>
      </c>
      <c r="C156" t="inlineStr">
        <is>
          <t>Matlock CC</t>
        </is>
      </c>
      <c r="D156" t="inlineStr">
        <is>
          <t>51</t>
        </is>
      </c>
      <c r="E156" s="2">
        <f>HYPERLINK("https://www.britishcycling.org.uk/points?person_id=764028&amp;year=2024&amp;type=national&amp;d=6","Results")</f>
        <v/>
      </c>
    </row>
    <row r="157">
      <c r="A157" t="inlineStr">
        <is>
          <t>156</t>
        </is>
      </c>
      <c r="B157" t="inlineStr">
        <is>
          <t>Charlie Beech</t>
        </is>
      </c>
      <c r="C157" t="inlineStr">
        <is>
          <t>Wolverhampton Wheelers</t>
        </is>
      </c>
      <c r="D157" t="inlineStr">
        <is>
          <t>50</t>
        </is>
      </c>
      <c r="E157" s="2">
        <f>HYPERLINK("https://www.britishcycling.org.uk/points?person_id=1149583&amp;year=2024&amp;type=national&amp;d=6","Results")</f>
        <v/>
      </c>
    </row>
    <row r="158">
      <c r="A158" t="inlineStr">
        <is>
          <t>157</t>
        </is>
      </c>
      <c r="B158" t="inlineStr">
        <is>
          <t>Zachary Heaton</t>
        </is>
      </c>
      <c r="C158" t="inlineStr">
        <is>
          <t>Salt Ayre Cog Set</t>
        </is>
      </c>
      <c r="D158" t="inlineStr">
        <is>
          <t>50</t>
        </is>
      </c>
      <c r="E158" s="2">
        <f>HYPERLINK("https://www.britishcycling.org.uk/points?person_id=1027766&amp;year=2024&amp;type=national&amp;d=6","Results")</f>
        <v/>
      </c>
    </row>
    <row r="159">
      <c r="A159" t="inlineStr">
        <is>
          <t>158</t>
        </is>
      </c>
      <c r="B159" t="inlineStr">
        <is>
          <t>Jasper Shapton</t>
        </is>
      </c>
      <c r="C159" t="inlineStr">
        <is>
          <t>VC Londres</t>
        </is>
      </c>
      <c r="D159" t="inlineStr">
        <is>
          <t>49</t>
        </is>
      </c>
      <c r="E159" s="2">
        <f>HYPERLINK("https://www.britishcycling.org.uk/points?person_id=852763&amp;year=2024&amp;type=national&amp;d=6","Results")</f>
        <v/>
      </c>
    </row>
    <row r="160">
      <c r="A160" t="inlineStr">
        <is>
          <t>159</t>
        </is>
      </c>
      <c r="B160" t="inlineStr">
        <is>
          <t>James Starford</t>
        </is>
      </c>
      <c r="C160" t="inlineStr">
        <is>
          <t>Tyneside Vagabonds CC</t>
        </is>
      </c>
      <c r="D160" t="inlineStr">
        <is>
          <t>48</t>
        </is>
      </c>
      <c r="E160" s="2">
        <f>HYPERLINK("https://www.britishcycling.org.uk/points?person_id=737929&amp;year=2024&amp;type=national&amp;d=6","Results")</f>
        <v/>
      </c>
    </row>
    <row r="161">
      <c r="A161" t="inlineStr">
        <is>
          <t>160</t>
        </is>
      </c>
      <c r="B161" t="inlineStr">
        <is>
          <t>Harry Patterson</t>
        </is>
      </c>
      <c r="C161" t="inlineStr">
        <is>
          <t>360cycling</t>
        </is>
      </c>
      <c r="D161" t="inlineStr">
        <is>
          <t>46</t>
        </is>
      </c>
      <c r="E161" s="2">
        <f>HYPERLINK("https://www.britishcycling.org.uk/points?person_id=938749&amp;year=2024&amp;type=national&amp;d=6","Results")</f>
        <v/>
      </c>
    </row>
    <row r="162">
      <c r="A162" t="inlineStr">
        <is>
          <t>161</t>
        </is>
      </c>
      <c r="B162" t="inlineStr">
        <is>
          <t>Jonah Robinson</t>
        </is>
      </c>
      <c r="C162" t="inlineStr">
        <is>
          <t>Team Milton Keynes</t>
        </is>
      </c>
      <c r="D162" t="inlineStr">
        <is>
          <t>45</t>
        </is>
      </c>
      <c r="E162" s="2">
        <f>HYPERLINK("https://www.britishcycling.org.uk/points?person_id=958259&amp;year=2024&amp;type=national&amp;d=6","Results")</f>
        <v/>
      </c>
    </row>
    <row r="163">
      <c r="A163" t="inlineStr">
        <is>
          <t>162</t>
        </is>
      </c>
      <c r="B163" t="inlineStr">
        <is>
          <t>Thomas Bleloch</t>
        </is>
      </c>
      <c r="C163" t="inlineStr">
        <is>
          <t>Mid Devon CC</t>
        </is>
      </c>
      <c r="D163" t="inlineStr">
        <is>
          <t>44</t>
        </is>
      </c>
      <c r="E163" s="2">
        <f>HYPERLINK("https://www.britishcycling.org.uk/points?person_id=1141128&amp;year=2024&amp;type=national&amp;d=6","Results")</f>
        <v/>
      </c>
    </row>
    <row r="164">
      <c r="A164" t="inlineStr">
        <is>
          <t>163</t>
        </is>
      </c>
      <c r="B164" t="inlineStr">
        <is>
          <t>Ellis Hutchinson</t>
        </is>
      </c>
      <c r="C164" t="inlineStr">
        <is>
          <t>Derby Mercury RC</t>
        </is>
      </c>
      <c r="D164" t="inlineStr">
        <is>
          <t>44</t>
        </is>
      </c>
      <c r="E164" s="2">
        <f>HYPERLINK("https://www.britishcycling.org.uk/points?person_id=839615&amp;year=2024&amp;type=national&amp;d=6","Results")</f>
        <v/>
      </c>
    </row>
    <row r="165">
      <c r="A165" t="inlineStr">
        <is>
          <t>164</t>
        </is>
      </c>
      <c r="B165" t="inlineStr">
        <is>
          <t>William Morgan</t>
        </is>
      </c>
      <c r="C165" t="inlineStr">
        <is>
          <t>Whitchurch Cycling Club</t>
        </is>
      </c>
      <c r="D165" t="inlineStr">
        <is>
          <t>44</t>
        </is>
      </c>
      <c r="E165" s="2">
        <f>HYPERLINK("https://www.britishcycling.org.uk/points?person_id=660180&amp;year=2024&amp;type=national&amp;d=6","Results")</f>
        <v/>
      </c>
    </row>
    <row r="166">
      <c r="A166" t="inlineStr">
        <is>
          <t>165</t>
        </is>
      </c>
      <c r="B166" t="inlineStr">
        <is>
          <t>Boaz Opie-Bos</t>
        </is>
      </c>
      <c r="C166" t="inlineStr">
        <is>
          <t>Wheal Velocity</t>
        </is>
      </c>
      <c r="D166" t="inlineStr">
        <is>
          <t>44</t>
        </is>
      </c>
      <c r="E166" s="2">
        <f>HYPERLINK("https://www.britishcycling.org.uk/points?person_id=1146573&amp;year=2024&amp;type=national&amp;d=6","Results")</f>
        <v/>
      </c>
    </row>
    <row r="167">
      <c r="A167" t="inlineStr">
        <is>
          <t>166</t>
        </is>
      </c>
      <c r="B167" t="inlineStr">
        <is>
          <t>Rory Stanton-Spencer</t>
        </is>
      </c>
      <c r="C167" t="inlineStr">
        <is>
          <t>Shibden Cycling Club</t>
        </is>
      </c>
      <c r="D167" t="inlineStr">
        <is>
          <t>43</t>
        </is>
      </c>
      <c r="E167" s="2">
        <f>HYPERLINK("https://www.britishcycling.org.uk/points?person_id=1132745&amp;year=2024&amp;type=national&amp;d=6","Results")</f>
        <v/>
      </c>
    </row>
    <row r="168">
      <c r="A168" t="inlineStr">
        <is>
          <t>167</t>
        </is>
      </c>
      <c r="B168" t="inlineStr">
        <is>
          <t>Tommy Bass</t>
        </is>
      </c>
      <c r="C168" t="inlineStr">
        <is>
          <t>Team RL360 Isle Of Man</t>
        </is>
      </c>
      <c r="D168" t="inlineStr">
        <is>
          <t>42</t>
        </is>
      </c>
      <c r="E168" s="2">
        <f>HYPERLINK("https://www.britishcycling.org.uk/points?person_id=1017479&amp;year=2024&amp;type=national&amp;d=6","Results")</f>
        <v/>
      </c>
    </row>
    <row r="169">
      <c r="A169" t="inlineStr">
        <is>
          <t>168</t>
        </is>
      </c>
      <c r="B169" t="inlineStr">
        <is>
          <t>Jago Reynolds</t>
        </is>
      </c>
      <c r="C169" t="inlineStr">
        <is>
          <t>Matlock CC</t>
        </is>
      </c>
      <c r="D169" t="inlineStr">
        <is>
          <t>42</t>
        </is>
      </c>
      <c r="E169" s="2">
        <f>HYPERLINK("https://www.britishcycling.org.uk/points?person_id=630956&amp;year=2024&amp;type=national&amp;d=6","Results")</f>
        <v/>
      </c>
    </row>
    <row r="170">
      <c r="A170" t="inlineStr">
        <is>
          <t>169</t>
        </is>
      </c>
      <c r="B170" t="inlineStr">
        <is>
          <t>Brodie Stewart</t>
        </is>
      </c>
      <c r="C170" t="inlineStr">
        <is>
          <t>Shibden Cycling Club</t>
        </is>
      </c>
      <c r="D170" t="inlineStr">
        <is>
          <t>42</t>
        </is>
      </c>
      <c r="E170" s="2">
        <f>HYPERLINK("https://www.britishcycling.org.uk/points?person_id=359032&amp;year=2024&amp;type=national&amp;d=6","Results")</f>
        <v/>
      </c>
    </row>
    <row r="171">
      <c r="A171" t="inlineStr">
        <is>
          <t>170</t>
        </is>
      </c>
      <c r="B171" t="inlineStr">
        <is>
          <t>Dylan Evans</t>
        </is>
      </c>
      <c r="C171" t="inlineStr">
        <is>
          <t>Whitchurch Cycling Club</t>
        </is>
      </c>
      <c r="D171" t="inlineStr">
        <is>
          <t>41</t>
        </is>
      </c>
      <c r="E171" s="2">
        <f>HYPERLINK("https://www.britishcycling.org.uk/points?person_id=1052336&amp;year=2024&amp;type=national&amp;d=6","Results")</f>
        <v/>
      </c>
    </row>
    <row r="172">
      <c r="A172" t="inlineStr">
        <is>
          <t>171</t>
        </is>
      </c>
      <c r="B172" t="inlineStr">
        <is>
          <t>Jacob Brown</t>
        </is>
      </c>
      <c r="C172" t="inlineStr">
        <is>
          <t>Stockton Wheelers CC</t>
        </is>
      </c>
      <c r="D172" t="inlineStr">
        <is>
          <t>36</t>
        </is>
      </c>
      <c r="E172" s="2">
        <f>HYPERLINK("https://www.britishcycling.org.uk/points?person_id=1038359&amp;year=2024&amp;type=national&amp;d=6","Results")</f>
        <v/>
      </c>
    </row>
    <row r="173">
      <c r="A173" t="inlineStr">
        <is>
          <t>172</t>
        </is>
      </c>
      <c r="B173" t="inlineStr">
        <is>
          <t>William Hughes</t>
        </is>
      </c>
      <c r="C173" t="inlineStr">
        <is>
          <t>Solent Pirates</t>
        </is>
      </c>
      <c r="D173" t="inlineStr">
        <is>
          <t>36</t>
        </is>
      </c>
      <c r="E173" s="2">
        <f>HYPERLINK("https://www.britishcycling.org.uk/points?person_id=1031708&amp;year=2024&amp;type=national&amp;d=6","Results")</f>
        <v/>
      </c>
    </row>
    <row r="174">
      <c r="A174" t="inlineStr">
        <is>
          <t>173</t>
        </is>
      </c>
      <c r="B174" t="inlineStr">
        <is>
          <t>Charlie Ainsworth</t>
        </is>
      </c>
      <c r="C174" t="inlineStr">
        <is>
          <t>Pine Sport</t>
        </is>
      </c>
      <c r="D174" t="inlineStr">
        <is>
          <t>34</t>
        </is>
      </c>
      <c r="E174" s="2">
        <f>HYPERLINK("https://www.britishcycling.org.uk/points?person_id=1087275&amp;year=2024&amp;type=national&amp;d=6","Results")</f>
        <v/>
      </c>
    </row>
    <row r="175">
      <c r="A175" t="inlineStr">
        <is>
          <t>174</t>
        </is>
      </c>
      <c r="B175" t="inlineStr">
        <is>
          <t>Henry Cordon</t>
        </is>
      </c>
      <c r="C175" t="inlineStr">
        <is>
          <t>Ilkeston Cycle Club</t>
        </is>
      </c>
      <c r="D175" t="inlineStr">
        <is>
          <t>32</t>
        </is>
      </c>
      <c r="E175" s="2">
        <f>HYPERLINK("https://www.britishcycling.org.uk/points?person_id=1135793&amp;year=2024&amp;type=national&amp;d=6","Results")</f>
        <v/>
      </c>
    </row>
    <row r="176">
      <c r="A176" t="inlineStr">
        <is>
          <t>175</t>
        </is>
      </c>
      <c r="B176" t="inlineStr">
        <is>
          <t>Felix Davies</t>
        </is>
      </c>
      <c r="C176" t="inlineStr">
        <is>
          <t>Gower Riders</t>
        </is>
      </c>
      <c r="D176" t="inlineStr">
        <is>
          <t>32</t>
        </is>
      </c>
      <c r="E176" s="2">
        <f>HYPERLINK("https://www.britishcycling.org.uk/points?person_id=1131288&amp;year=2024&amp;type=national&amp;d=6","Results")</f>
        <v/>
      </c>
    </row>
    <row r="177">
      <c r="A177" t="inlineStr">
        <is>
          <t>176</t>
        </is>
      </c>
      <c r="B177" t="inlineStr">
        <is>
          <t>Nathan Stuttard</t>
        </is>
      </c>
      <c r="C177" t="inlineStr">
        <is>
          <t>North Cheshire Clarion</t>
        </is>
      </c>
      <c r="D177" t="inlineStr">
        <is>
          <t>32</t>
        </is>
      </c>
      <c r="E177" s="2">
        <f>HYPERLINK("https://www.britishcycling.org.uk/points?person_id=1032133&amp;year=2024&amp;type=national&amp;d=6","Results")</f>
        <v/>
      </c>
    </row>
    <row r="178">
      <c r="A178" t="inlineStr">
        <is>
          <t>177</t>
        </is>
      </c>
      <c r="B178" t="inlineStr">
        <is>
          <t>Eamonn Postlethwaite</t>
        </is>
      </c>
      <c r="C178" t="inlineStr">
        <is>
          <t>ESV Manchester</t>
        </is>
      </c>
      <c r="D178" t="inlineStr">
        <is>
          <t>31</t>
        </is>
      </c>
      <c r="E178" s="2">
        <f>HYPERLINK("https://www.britishcycling.org.uk/points?person_id=662989&amp;year=2024&amp;type=national&amp;d=6","Results")</f>
        <v/>
      </c>
    </row>
    <row r="179">
      <c r="A179" t="inlineStr">
        <is>
          <t>178</t>
        </is>
      </c>
      <c r="B179" t="inlineStr">
        <is>
          <t>Jacob Matthews</t>
        </is>
      </c>
      <c r="C179" t="inlineStr">
        <is>
          <t>VC Londres</t>
        </is>
      </c>
      <c r="D179" t="inlineStr">
        <is>
          <t>30</t>
        </is>
      </c>
      <c r="E179" s="2">
        <f>HYPERLINK("https://www.britishcycling.org.uk/points?person_id=915368&amp;year=2024&amp;type=national&amp;d=6","Results")</f>
        <v/>
      </c>
    </row>
    <row r="180">
      <c r="A180" t="inlineStr">
        <is>
          <t>179</t>
        </is>
      </c>
      <c r="B180" t="inlineStr">
        <is>
          <t>Mckenzie McDowell</t>
        </is>
      </c>
      <c r="C180" t="inlineStr">
        <is>
          <t>Hetton Hawks Cycling Club</t>
        </is>
      </c>
      <c r="D180" t="inlineStr">
        <is>
          <t>29</t>
        </is>
      </c>
      <c r="E180" s="2">
        <f>HYPERLINK("https://www.britishcycling.org.uk/points?person_id=672037&amp;year=2024&amp;type=national&amp;d=6","Results")</f>
        <v/>
      </c>
    </row>
    <row r="181">
      <c r="A181" t="inlineStr">
        <is>
          <t>180</t>
        </is>
      </c>
      <c r="B181" t="inlineStr">
        <is>
          <t>Freddie Roberts</t>
        </is>
      </c>
      <c r="C181" t="inlineStr">
        <is>
          <t>Hafren CC</t>
        </is>
      </c>
      <c r="D181" t="inlineStr">
        <is>
          <t>29</t>
        </is>
      </c>
      <c r="E181" s="2">
        <f>HYPERLINK("https://www.britishcycling.org.uk/points?person_id=708495&amp;year=2024&amp;type=national&amp;d=6","Results")</f>
        <v/>
      </c>
    </row>
    <row r="182">
      <c r="A182" t="inlineStr">
        <is>
          <t>181</t>
        </is>
      </c>
      <c r="B182" t="inlineStr">
        <is>
          <t>Lewis Kane</t>
        </is>
      </c>
      <c r="C182" t="inlineStr">
        <is>
          <t>Royal Albert CC</t>
        </is>
      </c>
      <c r="D182" t="inlineStr">
        <is>
          <t>28</t>
        </is>
      </c>
      <c r="E182" s="2">
        <f>HYPERLINK("https://www.britishcycling.org.uk/points?person_id=1090125&amp;year=2024&amp;type=national&amp;d=6","Results")</f>
        <v/>
      </c>
    </row>
    <row r="183">
      <c r="A183" t="inlineStr">
        <is>
          <t>182</t>
        </is>
      </c>
      <c r="B183" t="inlineStr">
        <is>
          <t>Callum Atkinson</t>
        </is>
      </c>
      <c r="C183" t="inlineStr">
        <is>
          <t>Discovery Junior Cycling Club</t>
        </is>
      </c>
      <c r="D183" t="inlineStr">
        <is>
          <t>27</t>
        </is>
      </c>
      <c r="E183" s="2">
        <f>HYPERLINK("https://www.britishcycling.org.uk/points?person_id=992667&amp;year=2024&amp;type=national&amp;d=6","Results")</f>
        <v/>
      </c>
    </row>
    <row r="184">
      <c r="A184" t="inlineStr">
        <is>
          <t>183</t>
        </is>
      </c>
      <c r="B184" t="inlineStr">
        <is>
          <t>Henry Baily Mills</t>
        </is>
      </c>
      <c r="C184" t="inlineStr"/>
      <c r="D184" t="inlineStr">
        <is>
          <t>26</t>
        </is>
      </c>
      <c r="E184" s="2">
        <f>HYPERLINK("https://www.britishcycling.org.uk/points?person_id=1150671&amp;year=2024&amp;type=national&amp;d=6","Results")</f>
        <v/>
      </c>
    </row>
    <row r="185">
      <c r="A185" t="inlineStr">
        <is>
          <t>184</t>
        </is>
      </c>
      <c r="B185" t="inlineStr">
        <is>
          <t>Rowan Cairns</t>
        </is>
      </c>
      <c r="C185" t="inlineStr">
        <is>
          <t>Derwentside CC</t>
        </is>
      </c>
      <c r="D185" t="inlineStr">
        <is>
          <t>26</t>
        </is>
      </c>
      <c r="E185" s="2">
        <f>HYPERLINK("https://www.britishcycling.org.uk/points?person_id=515645&amp;year=2024&amp;type=national&amp;d=6","Results")</f>
        <v/>
      </c>
    </row>
    <row r="186">
      <c r="A186" t="inlineStr">
        <is>
          <t>185</t>
        </is>
      </c>
      <c r="B186" t="inlineStr">
        <is>
          <t>Tora Kim Saito</t>
        </is>
      </c>
      <c r="C186" t="inlineStr">
        <is>
          <t>VC Londres</t>
        </is>
      </c>
      <c r="D186" t="inlineStr">
        <is>
          <t>26</t>
        </is>
      </c>
      <c r="E186" s="2">
        <f>HYPERLINK("https://www.britishcycling.org.uk/points?person_id=996879&amp;year=2024&amp;type=national&amp;d=6","Results")</f>
        <v/>
      </c>
    </row>
    <row r="187">
      <c r="A187" t="inlineStr">
        <is>
          <t>186</t>
        </is>
      </c>
      <c r="B187" t="inlineStr">
        <is>
          <t>Elliot Puplett</t>
        </is>
      </c>
      <c r="C187" t="inlineStr">
        <is>
          <t>Harrogate Nova CC</t>
        </is>
      </c>
      <c r="D187" t="inlineStr">
        <is>
          <t>26</t>
        </is>
      </c>
      <c r="E187" s="2">
        <f>HYPERLINK("https://www.britishcycling.org.uk/points?person_id=1135516&amp;year=2024&amp;type=national&amp;d=6","Results")</f>
        <v/>
      </c>
    </row>
    <row r="188">
      <c r="A188" t="inlineStr">
        <is>
          <t>187</t>
        </is>
      </c>
      <c r="B188" t="inlineStr">
        <is>
          <t>Gabriel Allet</t>
        </is>
      </c>
      <c r="C188" t="inlineStr">
        <is>
          <t>Barking &amp; Dagenham CC</t>
        </is>
      </c>
      <c r="D188" t="inlineStr">
        <is>
          <t>24</t>
        </is>
      </c>
      <c r="E188" s="2">
        <f>HYPERLINK("https://www.britishcycling.org.uk/points?person_id=1011989&amp;year=2024&amp;type=national&amp;d=6","Results")</f>
        <v/>
      </c>
    </row>
    <row r="189">
      <c r="A189" t="inlineStr">
        <is>
          <t>188</t>
        </is>
      </c>
      <c r="B189" t="inlineStr">
        <is>
          <t>Konrad Miekina</t>
        </is>
      </c>
      <c r="C189" t="inlineStr">
        <is>
          <t>Welwyn Wheelers CC</t>
        </is>
      </c>
      <c r="D189" t="inlineStr">
        <is>
          <t>24</t>
        </is>
      </c>
      <c r="E189" s="2">
        <f>HYPERLINK("https://www.britishcycling.org.uk/points?person_id=1146394&amp;year=2024&amp;type=national&amp;d=6","Results")</f>
        <v/>
      </c>
    </row>
    <row r="190">
      <c r="A190" t="inlineStr">
        <is>
          <t>189</t>
        </is>
      </c>
      <c r="B190" t="inlineStr">
        <is>
          <t>Jacob Land</t>
        </is>
      </c>
      <c r="C190" t="inlineStr">
        <is>
          <t>Calder Clarion CC</t>
        </is>
      </c>
      <c r="D190" t="inlineStr">
        <is>
          <t>23</t>
        </is>
      </c>
      <c r="E190" s="2">
        <f>HYPERLINK("https://www.britishcycling.org.uk/points?person_id=1132693&amp;year=2024&amp;type=national&amp;d=6","Results")</f>
        <v/>
      </c>
    </row>
    <row r="191">
      <c r="A191" t="inlineStr">
        <is>
          <t>190</t>
        </is>
      </c>
      <c r="B191" t="inlineStr">
        <is>
          <t>Murray Rae</t>
        </is>
      </c>
      <c r="C191" t="inlineStr">
        <is>
          <t>Ythan CC</t>
        </is>
      </c>
      <c r="D191" t="inlineStr">
        <is>
          <t>22</t>
        </is>
      </c>
      <c r="E191" s="2">
        <f>HYPERLINK("https://www.britishcycling.org.uk/points?person_id=1025719&amp;year=2024&amp;type=national&amp;d=6","Results")</f>
        <v/>
      </c>
    </row>
    <row r="192">
      <c r="A192" t="inlineStr">
        <is>
          <t>191</t>
        </is>
      </c>
      <c r="B192" t="inlineStr">
        <is>
          <t>Oliver Rowntree</t>
        </is>
      </c>
      <c r="C192" t="inlineStr">
        <is>
          <t>Bath Cycling Club</t>
        </is>
      </c>
      <c r="D192" t="inlineStr">
        <is>
          <t>22</t>
        </is>
      </c>
      <c r="E192" s="2">
        <f>HYPERLINK("https://www.britishcycling.org.uk/points?person_id=309707&amp;year=2024&amp;type=national&amp;d=6","Results")</f>
        <v/>
      </c>
    </row>
    <row r="193">
      <c r="A193" t="inlineStr">
        <is>
          <t>192</t>
        </is>
      </c>
      <c r="B193" t="inlineStr">
        <is>
          <t>Tom Sailes</t>
        </is>
      </c>
      <c r="C193" t="inlineStr">
        <is>
          <t>Manilla Cycling</t>
        </is>
      </c>
      <c r="D193" t="inlineStr">
        <is>
          <t>22</t>
        </is>
      </c>
      <c r="E193" s="2">
        <f>HYPERLINK("https://www.britishcycling.org.uk/points?person_id=1027165&amp;year=2024&amp;type=national&amp;d=6","Results")</f>
        <v/>
      </c>
    </row>
    <row r="194">
      <c r="A194" t="inlineStr">
        <is>
          <t>193</t>
        </is>
      </c>
      <c r="B194" t="inlineStr">
        <is>
          <t>Luke Johnston</t>
        </is>
      </c>
      <c r="C194" t="inlineStr">
        <is>
          <t>Salt Ayre Cog Set</t>
        </is>
      </c>
      <c r="D194" t="inlineStr">
        <is>
          <t>20</t>
        </is>
      </c>
      <c r="E194" s="2">
        <f>HYPERLINK("https://www.britishcycling.org.uk/points?person_id=794556&amp;year=2024&amp;type=national&amp;d=6","Results")</f>
        <v/>
      </c>
    </row>
    <row r="195">
      <c r="A195" t="inlineStr">
        <is>
          <t>194</t>
        </is>
      </c>
      <c r="B195" t="inlineStr">
        <is>
          <t>Alex Pearcy</t>
        </is>
      </c>
      <c r="C195" t="inlineStr">
        <is>
          <t>Mid Devon CC</t>
        </is>
      </c>
      <c r="D195" t="inlineStr">
        <is>
          <t>20</t>
        </is>
      </c>
      <c r="E195" s="2">
        <f>HYPERLINK("https://www.britishcycling.org.uk/points?person_id=773777&amp;year=2024&amp;type=national&amp;d=6","Results")</f>
        <v/>
      </c>
    </row>
    <row r="196">
      <c r="A196" t="inlineStr">
        <is>
          <t>195</t>
        </is>
      </c>
      <c r="B196" t="inlineStr">
        <is>
          <t>Finn Jones</t>
        </is>
      </c>
      <c r="C196" t="inlineStr">
        <is>
          <t>VC Londres</t>
        </is>
      </c>
      <c r="D196" t="inlineStr">
        <is>
          <t>18</t>
        </is>
      </c>
      <c r="E196" s="2">
        <f>HYPERLINK("https://www.britishcycling.org.uk/points?person_id=912789&amp;year=2024&amp;type=national&amp;d=6","Results")</f>
        <v/>
      </c>
    </row>
    <row r="197">
      <c r="A197" t="inlineStr">
        <is>
          <t>196</t>
        </is>
      </c>
      <c r="B197" t="inlineStr">
        <is>
          <t>Oliver Littlewood</t>
        </is>
      </c>
      <c r="C197" t="inlineStr">
        <is>
          <t>Cotswold Veldrijden</t>
        </is>
      </c>
      <c r="D197" t="inlineStr">
        <is>
          <t>18</t>
        </is>
      </c>
      <c r="E197" s="2">
        <f>HYPERLINK("https://www.britishcycling.org.uk/points?person_id=1025555&amp;year=2024&amp;type=national&amp;d=6","Results")</f>
        <v/>
      </c>
    </row>
    <row r="198">
      <c r="A198" t="inlineStr">
        <is>
          <t>197</t>
        </is>
      </c>
      <c r="B198" t="inlineStr">
        <is>
          <t>Ashton Moore</t>
        </is>
      </c>
      <c r="C198" t="inlineStr">
        <is>
          <t>Velo Club Baracchi</t>
        </is>
      </c>
      <c r="D198" t="inlineStr">
        <is>
          <t>18</t>
        </is>
      </c>
      <c r="E198" s="2">
        <f>HYPERLINK("https://www.britishcycling.org.uk/points?person_id=869768&amp;year=2024&amp;type=national&amp;d=6","Results")</f>
        <v/>
      </c>
    </row>
    <row r="199">
      <c r="A199" t="inlineStr">
        <is>
          <t>198</t>
        </is>
      </c>
      <c r="B199" t="inlineStr">
        <is>
          <t>Aaron O'Dwyer</t>
        </is>
      </c>
      <c r="C199" t="inlineStr">
        <is>
          <t>Wheal Velocity</t>
        </is>
      </c>
      <c r="D199" t="inlineStr">
        <is>
          <t>18</t>
        </is>
      </c>
      <c r="E199" s="2">
        <f>HYPERLINK("https://www.britishcycling.org.uk/points?person_id=1152419&amp;year=2024&amp;type=national&amp;d=6","Results")</f>
        <v/>
      </c>
    </row>
    <row r="200">
      <c r="A200" t="inlineStr">
        <is>
          <t>199</t>
        </is>
      </c>
      <c r="B200" t="inlineStr">
        <is>
          <t>Jacob Panton</t>
        </is>
      </c>
      <c r="C200" t="inlineStr">
        <is>
          <t>Solent Pirates</t>
        </is>
      </c>
      <c r="D200" t="inlineStr">
        <is>
          <t>18</t>
        </is>
      </c>
      <c r="E200" s="2">
        <f>HYPERLINK("https://www.britishcycling.org.uk/points?person_id=1087680&amp;year=2024&amp;type=national&amp;d=6","Results")</f>
        <v/>
      </c>
    </row>
    <row r="201">
      <c r="A201" t="inlineStr">
        <is>
          <t>200</t>
        </is>
      </c>
      <c r="B201" t="inlineStr">
        <is>
          <t>Josh Sharp</t>
        </is>
      </c>
      <c r="C201" t="inlineStr">
        <is>
          <t>Deeside Thistle CC</t>
        </is>
      </c>
      <c r="D201" t="inlineStr">
        <is>
          <t>18</t>
        </is>
      </c>
      <c r="E201" s="2">
        <f>HYPERLINK("https://www.britishcycling.org.uk/points?person_id=781946&amp;year=2024&amp;type=national&amp;d=6","Results")</f>
        <v/>
      </c>
    </row>
    <row r="202">
      <c r="A202" t="inlineStr">
        <is>
          <t>201</t>
        </is>
      </c>
      <c r="B202" t="inlineStr">
        <is>
          <t>Jack Holtom</t>
        </is>
      </c>
      <c r="C202" t="inlineStr">
        <is>
          <t>Stratford CC</t>
        </is>
      </c>
      <c r="D202" t="inlineStr">
        <is>
          <t>17</t>
        </is>
      </c>
      <c r="E202" s="2">
        <f>HYPERLINK("https://www.britishcycling.org.uk/points?person_id=1005824&amp;year=2024&amp;type=national&amp;d=6","Results")</f>
        <v/>
      </c>
    </row>
    <row r="203">
      <c r="A203" t="inlineStr">
        <is>
          <t>202</t>
        </is>
      </c>
      <c r="B203" t="inlineStr">
        <is>
          <t>Jack Jenkins</t>
        </is>
      </c>
      <c r="C203" t="inlineStr">
        <is>
          <t>Southborough &amp; District Whls</t>
        </is>
      </c>
      <c r="D203" t="inlineStr">
        <is>
          <t>17</t>
        </is>
      </c>
      <c r="E203" s="2">
        <f>HYPERLINK("https://www.britishcycling.org.uk/points?person_id=1141070&amp;year=2024&amp;type=national&amp;d=6","Results")</f>
        <v/>
      </c>
    </row>
    <row r="204">
      <c r="A204" t="inlineStr">
        <is>
          <t>203</t>
        </is>
      </c>
      <c r="B204" t="inlineStr">
        <is>
          <t>Henry Williams</t>
        </is>
      </c>
      <c r="C204" t="inlineStr">
        <is>
          <t>Delamere Forest MTB</t>
        </is>
      </c>
      <c r="D204" t="inlineStr">
        <is>
          <t>17</t>
        </is>
      </c>
      <c r="E204" s="2">
        <f>HYPERLINK("https://www.britishcycling.org.uk/points?person_id=1155446&amp;year=2024&amp;type=national&amp;d=6","Results")</f>
        <v/>
      </c>
    </row>
    <row r="205">
      <c r="A205" t="inlineStr">
        <is>
          <t>204</t>
        </is>
      </c>
      <c r="B205" t="inlineStr">
        <is>
          <t>Tomos Morgan</t>
        </is>
      </c>
      <c r="C205" t="inlineStr">
        <is>
          <t>MVSenders</t>
        </is>
      </c>
      <c r="D205" t="inlineStr">
        <is>
          <t>16</t>
        </is>
      </c>
      <c r="E205" s="2">
        <f>HYPERLINK("https://www.britishcycling.org.uk/points?person_id=1103379&amp;year=2024&amp;type=national&amp;d=6","Results")</f>
        <v/>
      </c>
    </row>
    <row r="206">
      <c r="A206" t="inlineStr">
        <is>
          <t>205</t>
        </is>
      </c>
      <c r="B206" t="inlineStr">
        <is>
          <t>Arthur Small</t>
        </is>
      </c>
      <c r="C206" t="inlineStr"/>
      <c r="D206" t="inlineStr">
        <is>
          <t>16</t>
        </is>
      </c>
      <c r="E206" s="2">
        <f>HYPERLINK("https://www.britishcycling.org.uk/points?person_id=1159105&amp;year=2024&amp;type=national&amp;d=6","Results")</f>
        <v/>
      </c>
    </row>
    <row r="207">
      <c r="A207" t="inlineStr">
        <is>
          <t>206</t>
        </is>
      </c>
      <c r="B207" t="inlineStr">
        <is>
          <t>Louis Tysoe</t>
        </is>
      </c>
      <c r="C207" t="inlineStr">
        <is>
          <t>Lee Valley Youth Cycling Club</t>
        </is>
      </c>
      <c r="D207" t="inlineStr">
        <is>
          <t>16</t>
        </is>
      </c>
      <c r="E207" s="2">
        <f>HYPERLINK("https://www.britishcycling.org.uk/points?person_id=847048&amp;year=2024&amp;type=national&amp;d=6","Results")</f>
        <v/>
      </c>
    </row>
    <row r="208">
      <c r="A208" t="inlineStr">
        <is>
          <t>207</t>
        </is>
      </c>
      <c r="B208" t="inlineStr">
        <is>
          <t>Cooper Aberdour</t>
        </is>
      </c>
      <c r="C208" t="inlineStr">
        <is>
          <t>Preston Park Youth CC (PPYCC)</t>
        </is>
      </c>
      <c r="D208" t="inlineStr">
        <is>
          <t>14</t>
        </is>
      </c>
      <c r="E208" s="2">
        <f>HYPERLINK("https://www.britishcycling.org.uk/points?person_id=763525&amp;year=2024&amp;type=national&amp;d=6","Results")</f>
        <v/>
      </c>
    </row>
    <row r="209">
      <c r="A209" t="inlineStr">
        <is>
          <t>208</t>
        </is>
      </c>
      <c r="B209" t="inlineStr">
        <is>
          <t>Oliver Brophy</t>
        </is>
      </c>
      <c r="C209" t="inlineStr">
        <is>
          <t>Southborough &amp; District Whls</t>
        </is>
      </c>
      <c r="D209" t="inlineStr">
        <is>
          <t>14</t>
        </is>
      </c>
      <c r="E209" s="2">
        <f>HYPERLINK("https://www.britishcycling.org.uk/points?person_id=735263&amp;year=2024&amp;type=national&amp;d=6","Results")</f>
        <v/>
      </c>
    </row>
    <row r="210">
      <c r="A210" t="inlineStr">
        <is>
          <t>209</t>
        </is>
      </c>
      <c r="B210" t="inlineStr">
        <is>
          <t>Caleb Gibson-Ives</t>
        </is>
      </c>
      <c r="C210" t="inlineStr">
        <is>
          <t>VC Azzurri</t>
        </is>
      </c>
      <c r="D210" t="inlineStr">
        <is>
          <t>14</t>
        </is>
      </c>
      <c r="E210" s="2">
        <f>HYPERLINK("https://www.britishcycling.org.uk/points?person_id=1156446&amp;year=2024&amp;type=national&amp;d=6","Results")</f>
        <v/>
      </c>
    </row>
    <row r="211">
      <c r="A211" t="inlineStr">
        <is>
          <t>210</t>
        </is>
      </c>
      <c r="B211" t="inlineStr">
        <is>
          <t>Reuben McCloskey</t>
        </is>
      </c>
      <c r="C211" t="inlineStr">
        <is>
          <t>SteppingStanes Youth Cycling Club</t>
        </is>
      </c>
      <c r="D211" t="inlineStr">
        <is>
          <t>14</t>
        </is>
      </c>
      <c r="E211" s="2">
        <f>HYPERLINK("https://www.britishcycling.org.uk/points?person_id=624731&amp;year=2024&amp;type=national&amp;d=6","Results")</f>
        <v/>
      </c>
    </row>
    <row r="212">
      <c r="A212" t="inlineStr">
        <is>
          <t>211</t>
        </is>
      </c>
      <c r="B212" t="inlineStr">
        <is>
          <t>Toby Garrido</t>
        </is>
      </c>
      <c r="C212" t="inlineStr">
        <is>
          <t>Ilkley Cycling Club</t>
        </is>
      </c>
      <c r="D212" t="inlineStr">
        <is>
          <t>13</t>
        </is>
      </c>
      <c r="E212" s="2">
        <f>HYPERLINK("https://www.britishcycling.org.uk/points?person_id=587086&amp;year=2024&amp;type=national&amp;d=6","Results")</f>
        <v/>
      </c>
    </row>
    <row r="213">
      <c r="A213" t="inlineStr">
        <is>
          <t>212</t>
        </is>
      </c>
      <c r="B213" t="inlineStr">
        <is>
          <t>Samuel Machell</t>
        </is>
      </c>
      <c r="C213" t="inlineStr">
        <is>
          <t>Solent Pirates</t>
        </is>
      </c>
      <c r="D213" t="inlineStr">
        <is>
          <t>13</t>
        </is>
      </c>
      <c r="E213" s="2">
        <f>HYPERLINK("https://www.britishcycling.org.uk/points?person_id=1139479&amp;year=2024&amp;type=national&amp;d=6","Results")</f>
        <v/>
      </c>
    </row>
    <row r="214">
      <c r="A214" t="inlineStr">
        <is>
          <t>213</t>
        </is>
      </c>
      <c r="B214" t="inlineStr">
        <is>
          <t>Fintan Hetherton</t>
        </is>
      </c>
      <c r="C214" t="inlineStr">
        <is>
          <t>Welland Valley CC</t>
        </is>
      </c>
      <c r="D214" t="inlineStr">
        <is>
          <t>12</t>
        </is>
      </c>
      <c r="E214" s="2">
        <f>HYPERLINK("https://www.britishcycling.org.uk/points?person_id=1032642&amp;year=2024&amp;type=national&amp;d=6","Results")</f>
        <v/>
      </c>
    </row>
    <row r="215">
      <c r="A215" t="inlineStr">
        <is>
          <t>214</t>
        </is>
      </c>
      <c r="B215" t="inlineStr">
        <is>
          <t>Sion Phillips</t>
        </is>
      </c>
      <c r="C215" t="inlineStr">
        <is>
          <t>Velo Myrddin CC powered by Y Beic</t>
        </is>
      </c>
      <c r="D215" t="inlineStr">
        <is>
          <t>12</t>
        </is>
      </c>
      <c r="E215" s="2">
        <f>HYPERLINK("https://www.britishcycling.org.uk/points?person_id=830648&amp;year=2024&amp;type=national&amp;d=6","Results")</f>
        <v/>
      </c>
    </row>
    <row r="216">
      <c r="A216" t="inlineStr">
        <is>
          <t>215</t>
        </is>
      </c>
      <c r="B216" t="inlineStr">
        <is>
          <t>Isaac Richardson</t>
        </is>
      </c>
      <c r="C216" t="inlineStr">
        <is>
          <t>Sprockets Cycle Club</t>
        </is>
      </c>
      <c r="D216" t="inlineStr">
        <is>
          <t>12</t>
        </is>
      </c>
      <c r="E216" s="2">
        <f>HYPERLINK("https://www.britishcycling.org.uk/points?person_id=874776&amp;year=2024&amp;type=national&amp;d=6","Results")</f>
        <v/>
      </c>
    </row>
    <row r="217">
      <c r="A217" t="inlineStr">
        <is>
          <t>216</t>
        </is>
      </c>
      <c r="B217" t="inlineStr">
        <is>
          <t>Ben Snary</t>
        </is>
      </c>
      <c r="C217" t="inlineStr">
        <is>
          <t>VC Londres</t>
        </is>
      </c>
      <c r="D217" t="inlineStr">
        <is>
          <t>12</t>
        </is>
      </c>
      <c r="E217" s="2">
        <f>HYPERLINK("https://www.britishcycling.org.uk/points?person_id=1043684&amp;year=2024&amp;type=national&amp;d=6","Results")</f>
        <v/>
      </c>
    </row>
    <row r="218">
      <c r="A218" t="inlineStr">
        <is>
          <t>217</t>
        </is>
      </c>
      <c r="B218" t="inlineStr">
        <is>
          <t>Nicholas Cutler</t>
        </is>
      </c>
      <c r="C218" t="inlineStr">
        <is>
          <t>Glasgow Riderz</t>
        </is>
      </c>
      <c r="D218" t="inlineStr">
        <is>
          <t>11</t>
        </is>
      </c>
      <c r="E218" s="2">
        <f>HYPERLINK("https://www.britishcycling.org.uk/points?person_id=870224&amp;year=2024&amp;type=national&amp;d=6","Results")</f>
        <v/>
      </c>
    </row>
    <row r="219">
      <c r="A219" t="inlineStr">
        <is>
          <t>218</t>
        </is>
      </c>
      <c r="B219" t="inlineStr">
        <is>
          <t>Rueben Abbotts</t>
        </is>
      </c>
      <c r="C219" t="inlineStr">
        <is>
          <t>Solihull CC</t>
        </is>
      </c>
      <c r="D219" t="inlineStr">
        <is>
          <t>10</t>
        </is>
      </c>
      <c r="E219" s="2">
        <f>HYPERLINK("https://www.britishcycling.org.uk/points?person_id=893177&amp;year=2024&amp;type=national&amp;d=6","Results")</f>
        <v/>
      </c>
    </row>
    <row r="220">
      <c r="A220" t="inlineStr">
        <is>
          <t>219</t>
        </is>
      </c>
      <c r="B220" t="inlineStr">
        <is>
          <t>Tom Barber</t>
        </is>
      </c>
      <c r="C220" t="inlineStr">
        <is>
          <t>Velo Club Baracchi</t>
        </is>
      </c>
      <c r="D220" t="inlineStr">
        <is>
          <t>10</t>
        </is>
      </c>
      <c r="E220" s="2">
        <f>HYPERLINK("https://www.britishcycling.org.uk/points?person_id=1021648&amp;year=2024&amp;type=national&amp;d=6","Results")</f>
        <v/>
      </c>
    </row>
    <row r="221">
      <c r="A221" t="inlineStr">
        <is>
          <t>220</t>
        </is>
      </c>
      <c r="B221" t="inlineStr">
        <is>
          <t>Theo Beynon</t>
        </is>
      </c>
      <c r="C221" t="inlineStr">
        <is>
          <t>Bronte Tykes Cycling Club</t>
        </is>
      </c>
      <c r="D221" t="inlineStr">
        <is>
          <t>10</t>
        </is>
      </c>
      <c r="E221" s="2">
        <f>HYPERLINK("https://www.britishcycling.org.uk/points?person_id=764050&amp;year=2024&amp;type=national&amp;d=6","Results")</f>
        <v/>
      </c>
    </row>
    <row r="222">
      <c r="A222" t="inlineStr">
        <is>
          <t>221</t>
        </is>
      </c>
      <c r="B222" t="inlineStr">
        <is>
          <t>Sam Clark</t>
        </is>
      </c>
      <c r="C222" t="inlineStr">
        <is>
          <t>Glasgow Riderz</t>
        </is>
      </c>
      <c r="D222" t="inlineStr">
        <is>
          <t>10</t>
        </is>
      </c>
      <c r="E222" s="2">
        <f>HYPERLINK("https://www.britishcycling.org.uk/points?person_id=1091164&amp;year=2024&amp;type=national&amp;d=6","Results")</f>
        <v/>
      </c>
    </row>
    <row r="223">
      <c r="A223" t="inlineStr">
        <is>
          <t>222</t>
        </is>
      </c>
      <c r="B223" t="inlineStr">
        <is>
          <t>Samuel Comben</t>
        </is>
      </c>
      <c r="C223" t="inlineStr">
        <is>
          <t>Sotonia CC</t>
        </is>
      </c>
      <c r="D223" t="inlineStr">
        <is>
          <t>10</t>
        </is>
      </c>
      <c r="E223" s="2">
        <f>HYPERLINK("https://www.britishcycling.org.uk/points?person_id=951237&amp;year=2024&amp;type=national&amp;d=6","Results")</f>
        <v/>
      </c>
    </row>
    <row r="224">
      <c r="A224" t="inlineStr">
        <is>
          <t>223</t>
        </is>
      </c>
      <c r="B224" t="inlineStr">
        <is>
          <t>Dylan Gray</t>
        </is>
      </c>
      <c r="C224" t="inlineStr"/>
      <c r="D224" t="inlineStr">
        <is>
          <t>10</t>
        </is>
      </c>
      <c r="E224" s="2">
        <f>HYPERLINK("https://www.britishcycling.org.uk/points?person_id=1136462&amp;year=2024&amp;type=national&amp;d=6","Results")</f>
        <v/>
      </c>
    </row>
    <row r="225">
      <c r="A225" t="inlineStr">
        <is>
          <t>224</t>
        </is>
      </c>
      <c r="B225" t="inlineStr">
        <is>
          <t>Isaac Horta-Hopkins</t>
        </is>
      </c>
      <c r="C225" t="inlineStr">
        <is>
          <t>Southborough &amp; District Whls</t>
        </is>
      </c>
      <c r="D225" t="inlineStr">
        <is>
          <t>10</t>
        </is>
      </c>
      <c r="E225" s="2">
        <f>HYPERLINK("https://www.britishcycling.org.uk/points?person_id=1161695&amp;year=2024&amp;type=national&amp;d=6","Results")</f>
        <v/>
      </c>
    </row>
    <row r="226">
      <c r="A226" t="inlineStr">
        <is>
          <t>225</t>
        </is>
      </c>
      <c r="B226" t="inlineStr">
        <is>
          <t>Seth Hunter</t>
        </is>
      </c>
      <c r="C226" t="inlineStr">
        <is>
          <t>Lee Valley Youth Cycling Club</t>
        </is>
      </c>
      <c r="D226" t="inlineStr">
        <is>
          <t>10</t>
        </is>
      </c>
      <c r="E226" s="2">
        <f>HYPERLINK("https://www.britishcycling.org.uk/points?person_id=1136992&amp;year=2024&amp;type=national&amp;d=6","Results")</f>
        <v/>
      </c>
    </row>
    <row r="227">
      <c r="A227" t="inlineStr">
        <is>
          <t>226</t>
        </is>
      </c>
      <c r="B227" t="inlineStr">
        <is>
          <t>Thomas Meigh</t>
        </is>
      </c>
      <c r="C227" t="inlineStr">
        <is>
          <t>Solent Pirates</t>
        </is>
      </c>
      <c r="D227" t="inlineStr">
        <is>
          <t>10</t>
        </is>
      </c>
      <c r="E227" s="2">
        <f>HYPERLINK("https://www.britishcycling.org.uk/points?person_id=768041&amp;year=2024&amp;type=national&amp;d=6","Results")</f>
        <v/>
      </c>
    </row>
    <row r="228">
      <c r="A228" t="inlineStr">
        <is>
          <t>227</t>
        </is>
      </c>
      <c r="B228" t="inlineStr">
        <is>
          <t>Layton Bell</t>
        </is>
      </c>
      <c r="C228" t="inlineStr">
        <is>
          <t>Hetton Hawks Cycling Club</t>
        </is>
      </c>
      <c r="D228" t="inlineStr">
        <is>
          <t>9</t>
        </is>
      </c>
      <c r="E228" s="2">
        <f>HYPERLINK("https://www.britishcycling.org.uk/points?person_id=1032045&amp;year=2024&amp;type=national&amp;d=6","Results")</f>
        <v/>
      </c>
    </row>
    <row r="229">
      <c r="A229" t="inlineStr">
        <is>
          <t>228</t>
        </is>
      </c>
      <c r="B229" t="inlineStr">
        <is>
          <t>Charlie Brooks</t>
        </is>
      </c>
      <c r="C229" t="inlineStr">
        <is>
          <t>Manilla Cycling</t>
        </is>
      </c>
      <c r="D229" t="inlineStr">
        <is>
          <t>9</t>
        </is>
      </c>
      <c r="E229" s="2">
        <f>HYPERLINK("https://www.britishcycling.org.uk/points?person_id=769042&amp;year=2024&amp;type=national&amp;d=6","Results")</f>
        <v/>
      </c>
    </row>
    <row r="230">
      <c r="A230" t="inlineStr">
        <is>
          <t>229</t>
        </is>
      </c>
      <c r="B230" t="inlineStr">
        <is>
          <t>Ryan Hynds</t>
        </is>
      </c>
      <c r="C230" t="inlineStr">
        <is>
          <t>North Cheshire Clarion</t>
        </is>
      </c>
      <c r="D230" t="inlineStr">
        <is>
          <t>9</t>
        </is>
      </c>
      <c r="E230" s="2">
        <f>HYPERLINK("https://www.britishcycling.org.uk/points?person_id=1142836&amp;year=2024&amp;type=national&amp;d=6","Results")</f>
        <v/>
      </c>
    </row>
    <row r="231">
      <c r="A231" t="inlineStr">
        <is>
          <t>230</t>
        </is>
      </c>
      <c r="B231" t="inlineStr">
        <is>
          <t>James Trippier</t>
        </is>
      </c>
      <c r="C231" t="inlineStr">
        <is>
          <t>Beeston Cycling Club</t>
        </is>
      </c>
      <c r="D231" t="inlineStr">
        <is>
          <t>9</t>
        </is>
      </c>
      <c r="E231" s="2">
        <f>HYPERLINK("https://www.britishcycling.org.uk/points?person_id=880822&amp;year=2024&amp;type=national&amp;d=6","Results")</f>
        <v/>
      </c>
    </row>
    <row r="232">
      <c r="A232" t="inlineStr">
        <is>
          <t>231</t>
        </is>
      </c>
      <c r="B232" t="inlineStr">
        <is>
          <t>Fyfe Gray</t>
        </is>
      </c>
      <c r="C232" t="inlineStr">
        <is>
          <t>Johnstone Wheelers Cycling Club</t>
        </is>
      </c>
      <c r="D232" t="inlineStr">
        <is>
          <t>8</t>
        </is>
      </c>
      <c r="E232" s="2">
        <f>HYPERLINK("https://www.britishcycling.org.uk/points?person_id=755355&amp;year=2024&amp;type=national&amp;d=6","Results")</f>
        <v/>
      </c>
    </row>
    <row r="233">
      <c r="A233" t="inlineStr">
        <is>
          <t>232</t>
        </is>
      </c>
      <c r="B233" t="inlineStr">
        <is>
          <t>Liam Hattam</t>
        </is>
      </c>
      <c r="C233" t="inlineStr">
        <is>
          <t>Cycle Club Ashwell (CCA)</t>
        </is>
      </c>
      <c r="D233" t="inlineStr">
        <is>
          <t>8</t>
        </is>
      </c>
      <c r="E233" s="2">
        <f>HYPERLINK("https://www.britishcycling.org.uk/points?person_id=1012699&amp;year=2024&amp;type=national&amp;d=6","Results")</f>
        <v/>
      </c>
    </row>
    <row r="234">
      <c r="A234" t="inlineStr">
        <is>
          <t>233</t>
        </is>
      </c>
      <c r="B234" t="inlineStr">
        <is>
          <t>Dominic Maidment</t>
        </is>
      </c>
      <c r="C234" t="inlineStr">
        <is>
          <t>Cycling Club Hackney</t>
        </is>
      </c>
      <c r="D234" t="inlineStr">
        <is>
          <t>8</t>
        </is>
      </c>
      <c r="E234" s="2">
        <f>HYPERLINK("https://www.britishcycling.org.uk/points?person_id=1007205&amp;year=2024&amp;type=national&amp;d=6","Results")</f>
        <v/>
      </c>
    </row>
    <row r="235">
      <c r="A235" t="inlineStr">
        <is>
          <t>234</t>
        </is>
      </c>
      <c r="B235" t="inlineStr">
        <is>
          <t>Toby Byard</t>
        </is>
      </c>
      <c r="C235" t="inlineStr">
        <is>
          <t>Wolverhampton Wheelers</t>
        </is>
      </c>
      <c r="D235" t="inlineStr">
        <is>
          <t>7</t>
        </is>
      </c>
      <c r="E235" s="2">
        <f>HYPERLINK("https://www.britishcycling.org.uk/points?person_id=1132542&amp;year=2024&amp;type=national&amp;d=6","Results")</f>
        <v/>
      </c>
    </row>
    <row r="236">
      <c r="A236" t="inlineStr">
        <is>
          <t>235</t>
        </is>
      </c>
      <c r="B236" t="inlineStr">
        <is>
          <t>Ollie English</t>
        </is>
      </c>
      <c r="C236" t="inlineStr">
        <is>
          <t>Doncaster Whls CC</t>
        </is>
      </c>
      <c r="D236" t="inlineStr">
        <is>
          <t>7</t>
        </is>
      </c>
      <c r="E236" s="2">
        <f>HYPERLINK("https://www.britishcycling.org.uk/points?person_id=553872&amp;year=2024&amp;type=national&amp;d=6","Results")</f>
        <v/>
      </c>
    </row>
    <row r="237">
      <c r="A237" t="inlineStr">
        <is>
          <t>236</t>
        </is>
      </c>
      <c r="B237" t="inlineStr">
        <is>
          <t>Derek Ma</t>
        </is>
      </c>
      <c r="C237" t="inlineStr">
        <is>
          <t>Bury Clarion Cycling Club</t>
        </is>
      </c>
      <c r="D237" t="inlineStr">
        <is>
          <t>7</t>
        </is>
      </c>
      <c r="E237" s="2">
        <f>HYPERLINK("https://www.britishcycling.org.uk/points?person_id=1157960&amp;year=2024&amp;type=national&amp;d=6","Results")</f>
        <v/>
      </c>
    </row>
    <row r="238">
      <c r="A238" t="inlineStr">
        <is>
          <t>237</t>
        </is>
      </c>
      <c r="B238" t="inlineStr">
        <is>
          <t>Matthew Walker</t>
        </is>
      </c>
      <c r="C238" t="inlineStr">
        <is>
          <t>Weaver Valley CC</t>
        </is>
      </c>
      <c r="D238" t="inlineStr">
        <is>
          <t>7</t>
        </is>
      </c>
      <c r="E238" s="2">
        <f>HYPERLINK("https://www.britishcycling.org.uk/points?person_id=1150551&amp;year=2024&amp;type=national&amp;d=6","Results")</f>
        <v/>
      </c>
    </row>
    <row r="239">
      <c r="A239" t="inlineStr">
        <is>
          <t>238</t>
        </is>
      </c>
      <c r="B239" t="inlineStr">
        <is>
          <t>Isaac Perry</t>
        </is>
      </c>
      <c r="C239" t="inlineStr">
        <is>
          <t>Southborough &amp; District Whls</t>
        </is>
      </c>
      <c r="D239" t="inlineStr">
        <is>
          <t>6</t>
        </is>
      </c>
      <c r="E239" s="2">
        <f>HYPERLINK("https://www.britishcycling.org.uk/points?person_id=1030295&amp;year=2024&amp;type=national&amp;d=6","Results")</f>
        <v/>
      </c>
    </row>
    <row r="240">
      <c r="A240" t="inlineStr">
        <is>
          <t>239</t>
        </is>
      </c>
      <c r="B240" t="inlineStr">
        <is>
          <t>Sebastian Wilkinson</t>
        </is>
      </c>
      <c r="C240" t="inlineStr">
        <is>
          <t>Cycle Club Ashwell (CCA)</t>
        </is>
      </c>
      <c r="D240" t="inlineStr">
        <is>
          <t>6</t>
        </is>
      </c>
      <c r="E240" s="2">
        <f>HYPERLINK("https://www.britishcycling.org.uk/points?person_id=1027984&amp;year=2024&amp;type=national&amp;d=6","Results")</f>
        <v/>
      </c>
    </row>
    <row r="241">
      <c r="A241" t="inlineStr">
        <is>
          <t>240</t>
        </is>
      </c>
      <c r="B241" t="inlineStr">
        <is>
          <t>Teddy Shackleton</t>
        </is>
      </c>
      <c r="C241" t="inlineStr"/>
      <c r="D241" t="inlineStr">
        <is>
          <t>5</t>
        </is>
      </c>
      <c r="E241" s="2">
        <f>HYPERLINK("https://www.britishcycling.org.uk/points?person_id=814071&amp;year=2024&amp;type=national&amp;d=6","Results")</f>
        <v/>
      </c>
    </row>
    <row r="242">
      <c r="A242" t="inlineStr">
        <is>
          <t>241</t>
        </is>
      </c>
      <c r="B242" t="inlineStr">
        <is>
          <t>Jakub Weir</t>
        </is>
      </c>
      <c r="C242" t="inlineStr">
        <is>
          <t>Palmer Park Velo RT</t>
        </is>
      </c>
      <c r="D242" t="inlineStr">
        <is>
          <t>3</t>
        </is>
      </c>
      <c r="E242" s="2">
        <f>HYPERLINK("https://www.britishcycling.org.uk/points?person_id=1032699&amp;year=2024&amp;type=national&amp;d=6","Results")</f>
        <v/>
      </c>
    </row>
    <row r="243">
      <c r="A243" t="inlineStr">
        <is>
          <t>242</t>
        </is>
      </c>
      <c r="B243" t="inlineStr">
        <is>
          <t>Oliver Cope</t>
        </is>
      </c>
      <c r="C243" t="inlineStr">
        <is>
          <t>Lee Valley Youth Cycling Club</t>
        </is>
      </c>
      <c r="D243" t="inlineStr">
        <is>
          <t>2</t>
        </is>
      </c>
      <c r="E243" s="2">
        <f>HYPERLINK("https://www.britishcycling.org.uk/points?person_id=1136151&amp;year=2024&amp;type=national&amp;d=6","Results")</f>
        <v/>
      </c>
    </row>
    <row r="244">
      <c r="A244" t="inlineStr">
        <is>
          <t>243</t>
        </is>
      </c>
      <c r="B244" t="inlineStr">
        <is>
          <t>Archie Urch</t>
        </is>
      </c>
      <c r="C244" t="inlineStr">
        <is>
          <t>Solent Pirates</t>
        </is>
      </c>
      <c r="D244" t="inlineStr">
        <is>
          <t>1</t>
        </is>
      </c>
      <c r="E244" s="2">
        <f>HYPERLINK("https://www.britishcycling.org.uk/points?person_id=1141667&amp;year=2024&amp;type=national&amp;d=6","Results")</f>
        <v/>
      </c>
    </row>
  </sheetData>
  <pageMargins left="0.75" right="0.75" top="1" bottom="1" header="0.5" footer="0.5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F68"/>
  <sheetViews>
    <sheetView workbookViewId="0">
      <selection activeCell="A1" sqref="A1"/>
    </sheetView>
  </sheetViews>
  <sheetFormatPr baseColWidth="8" defaultRowHeight="15"/>
  <cols>
    <col width="8" customWidth="1" min="1" max="1"/>
    <col width="25" customWidth="1" min="2" max="2"/>
    <col width="50" customWidth="1" min="3" max="3"/>
    <col width="7" customWidth="1" min="4" max="4"/>
    <col width="20" customWidth="1" min="5" max="5"/>
  </cols>
  <sheetData>
    <row r="1">
      <c r="A1" s="1" t="inlineStr">
        <is>
          <t>Ranking</t>
        </is>
      </c>
      <c r="B1" s="1" t="inlineStr">
        <is>
          <t>Name</t>
        </is>
      </c>
      <c r="C1" s="1" t="inlineStr">
        <is>
          <t>Club/Team</t>
        </is>
      </c>
      <c r="D1" s="1" t="inlineStr">
        <is>
          <t>Points</t>
        </is>
      </c>
      <c r="E1" s="1" t="inlineStr">
        <is>
          <t>Detail (click)</t>
        </is>
      </c>
      <c r="F1" s="1" t="inlineStr">
        <is>
          <t>Updated: 2024-12-20</t>
        </is>
      </c>
    </row>
    <row r="2">
      <c r="A2" t="inlineStr">
        <is>
          <t>1</t>
        </is>
      </c>
      <c r="B2" t="inlineStr">
        <is>
          <t>Zoe Parker</t>
        </is>
      </c>
      <c r="C2" t="inlineStr">
        <is>
          <t>Solihull CC</t>
        </is>
      </c>
      <c r="D2" t="inlineStr">
        <is>
          <t>446</t>
        </is>
      </c>
      <c r="E2" s="2">
        <f>HYPERLINK("https://www.britishcycling.org.uk/points?person_id=615888&amp;year=2024&amp;type=national&amp;d=6","Results")</f>
        <v/>
      </c>
    </row>
    <row r="3">
      <c r="A3" t="inlineStr">
        <is>
          <t>2</t>
        </is>
      </c>
      <c r="B3" t="inlineStr">
        <is>
          <t>Rianna Mahoney</t>
        </is>
      </c>
      <c r="C3" t="inlineStr">
        <is>
          <t>4T+ Cyclopark</t>
        </is>
      </c>
      <c r="D3" t="inlineStr">
        <is>
          <t>444</t>
        </is>
      </c>
      <c r="E3" s="2">
        <f>HYPERLINK("https://www.britishcycling.org.uk/points?person_id=687761&amp;year=2024&amp;type=national&amp;d=6","Results")</f>
        <v/>
      </c>
    </row>
    <row r="4">
      <c r="A4" t="inlineStr">
        <is>
          <t>3</t>
        </is>
      </c>
      <c r="B4" t="inlineStr">
        <is>
          <t>Zoe Roche</t>
        </is>
      </c>
      <c r="C4" t="inlineStr">
        <is>
          <t>Ribble - Verge Sport</t>
        </is>
      </c>
      <c r="D4" t="inlineStr">
        <is>
          <t>390</t>
        </is>
      </c>
      <c r="E4" s="2">
        <f>HYPERLINK("https://www.britishcycling.org.uk/points?person_id=624694&amp;year=2024&amp;type=national&amp;d=6","Results")</f>
        <v/>
      </c>
    </row>
    <row r="5">
      <c r="A5" t="inlineStr">
        <is>
          <t>4</t>
        </is>
      </c>
      <c r="B5" t="inlineStr">
        <is>
          <t>Georgia Mahoney</t>
        </is>
      </c>
      <c r="C5" t="inlineStr">
        <is>
          <t>Magspeed Racing</t>
        </is>
      </c>
      <c r="D5" t="inlineStr">
        <is>
          <t>362</t>
        </is>
      </c>
      <c r="E5" s="2">
        <f>HYPERLINK("https://www.britishcycling.org.uk/points?person_id=535010&amp;year=2024&amp;type=national&amp;d=6","Results")</f>
        <v/>
      </c>
    </row>
    <row r="6">
      <c r="A6" t="inlineStr">
        <is>
          <t>5</t>
        </is>
      </c>
      <c r="B6" t="inlineStr">
        <is>
          <t>Jessica Bufton</t>
        </is>
      </c>
      <c r="C6" t="inlineStr">
        <is>
          <t>Hafren CC</t>
        </is>
      </c>
      <c r="D6" t="inlineStr">
        <is>
          <t>304</t>
        </is>
      </c>
      <c r="E6" s="2">
        <f>HYPERLINK("https://www.britishcycling.org.uk/points?person_id=410477&amp;year=2024&amp;type=national&amp;d=6","Results")</f>
        <v/>
      </c>
    </row>
    <row r="7">
      <c r="A7" t="inlineStr">
        <is>
          <t>6</t>
        </is>
      </c>
      <c r="B7" t="inlineStr">
        <is>
          <t>Ellie Mitchinson</t>
        </is>
      </c>
      <c r="C7" t="inlineStr">
        <is>
          <t>Montezuma's Eventrex Race Team</t>
        </is>
      </c>
      <c r="D7" t="inlineStr">
        <is>
          <t>290</t>
        </is>
      </c>
      <c r="E7" s="2">
        <f>HYPERLINK("https://www.britishcycling.org.uk/points?person_id=431415&amp;year=2024&amp;type=national&amp;d=6","Results")</f>
        <v/>
      </c>
    </row>
    <row r="8">
      <c r="A8" t="inlineStr">
        <is>
          <t>7</t>
        </is>
      </c>
      <c r="B8" t="inlineStr">
        <is>
          <t>Ilana Lord</t>
        </is>
      </c>
      <c r="C8" t="inlineStr">
        <is>
          <t>VC Deal</t>
        </is>
      </c>
      <c r="D8" t="inlineStr">
        <is>
          <t>278</t>
        </is>
      </c>
      <c r="E8" s="2">
        <f>HYPERLINK("https://www.britishcycling.org.uk/points?person_id=439637&amp;year=2024&amp;type=national&amp;d=6","Results")</f>
        <v/>
      </c>
    </row>
    <row r="9">
      <c r="A9" t="inlineStr">
        <is>
          <t>8</t>
        </is>
      </c>
      <c r="B9" t="inlineStr">
        <is>
          <t>Ella Chatfield</t>
        </is>
      </c>
      <c r="C9" t="inlineStr">
        <is>
          <t>Crawley Wheelers</t>
        </is>
      </c>
      <c r="D9" t="inlineStr">
        <is>
          <t>270</t>
        </is>
      </c>
      <c r="E9" s="2">
        <f>HYPERLINK("https://www.britishcycling.org.uk/points?person_id=734120&amp;year=2024&amp;type=national&amp;d=6","Results")</f>
        <v/>
      </c>
    </row>
    <row r="10">
      <c r="A10" t="inlineStr">
        <is>
          <t>9</t>
        </is>
      </c>
      <c r="B10" t="inlineStr">
        <is>
          <t>Erin Hall</t>
        </is>
      </c>
      <c r="C10" t="inlineStr">
        <is>
          <t>Cycle Club Ashwell (CCA)</t>
        </is>
      </c>
      <c r="D10" t="inlineStr">
        <is>
          <t>266</t>
        </is>
      </c>
      <c r="E10" s="2">
        <f>HYPERLINK("https://www.britishcycling.org.uk/points?person_id=675400&amp;year=2024&amp;type=national&amp;d=6","Results")</f>
        <v/>
      </c>
    </row>
    <row r="11">
      <c r="A11" t="inlineStr">
        <is>
          <t>10</t>
        </is>
      </c>
      <c r="B11" t="inlineStr">
        <is>
          <t>Isla Hoult</t>
        </is>
      </c>
      <c r="C11" t="inlineStr">
        <is>
          <t>Solent Pirates</t>
        </is>
      </c>
      <c r="D11" t="inlineStr">
        <is>
          <t>244</t>
        </is>
      </c>
      <c r="E11" s="2">
        <f>HYPERLINK("https://www.britishcycling.org.uk/points?person_id=1033183&amp;year=2024&amp;type=national&amp;d=6","Results")</f>
        <v/>
      </c>
    </row>
    <row r="12">
      <c r="A12" t="inlineStr">
        <is>
          <t>11</t>
        </is>
      </c>
      <c r="B12" t="inlineStr">
        <is>
          <t>Freya Mowbray</t>
        </is>
      </c>
      <c r="C12" t="inlineStr">
        <is>
          <t>Scotia Offroad Race Team (SORT)</t>
        </is>
      </c>
      <c r="D12" t="inlineStr">
        <is>
          <t>232</t>
        </is>
      </c>
      <c r="E12" s="2">
        <f>HYPERLINK("https://www.britishcycling.org.uk/points?person_id=738754&amp;year=2024&amp;type=national&amp;d=6","Results")</f>
        <v/>
      </c>
    </row>
    <row r="13">
      <c r="A13" t="inlineStr">
        <is>
          <t>12</t>
        </is>
      </c>
      <c r="B13" t="inlineStr">
        <is>
          <t>Anna Patterson</t>
        </is>
      </c>
      <c r="C13" t="inlineStr">
        <is>
          <t>IGNITE Race Team</t>
        </is>
      </c>
      <c r="D13" t="inlineStr">
        <is>
          <t>232</t>
        </is>
      </c>
      <c r="E13" s="2">
        <f>HYPERLINK("https://www.britishcycling.org.uk/points?person_id=533626&amp;year=2024&amp;type=national&amp;d=6","Results")</f>
        <v/>
      </c>
    </row>
    <row r="14">
      <c r="A14" t="inlineStr">
        <is>
          <t>13</t>
        </is>
      </c>
      <c r="B14" t="inlineStr">
        <is>
          <t>Emma Harrison</t>
        </is>
      </c>
      <c r="C14" t="inlineStr">
        <is>
          <t>Sotonia CC</t>
        </is>
      </c>
      <c r="D14" t="inlineStr">
        <is>
          <t>228</t>
        </is>
      </c>
      <c r="E14" s="2">
        <f>HYPERLINK("https://www.britishcycling.org.uk/points?person_id=823846&amp;year=2024&amp;type=national&amp;d=6","Results")</f>
        <v/>
      </c>
    </row>
    <row r="15">
      <c r="A15" t="inlineStr">
        <is>
          <t>14</t>
        </is>
      </c>
      <c r="B15" t="inlineStr">
        <is>
          <t>Eva Fox</t>
        </is>
      </c>
      <c r="C15" t="inlineStr">
        <is>
          <t>Mid Devon CC</t>
        </is>
      </c>
      <c r="D15" t="inlineStr">
        <is>
          <t>214</t>
        </is>
      </c>
      <c r="E15" s="2">
        <f>HYPERLINK("https://www.britishcycling.org.uk/points?person_id=644370&amp;year=2024&amp;type=national&amp;d=6","Results")</f>
        <v/>
      </c>
    </row>
    <row r="16">
      <c r="A16" t="inlineStr">
        <is>
          <t>15</t>
        </is>
      </c>
      <c r="B16" t="inlineStr">
        <is>
          <t>Megan Cherry</t>
        </is>
      </c>
      <c r="C16" t="inlineStr">
        <is>
          <t>Leicester Forest CC</t>
        </is>
      </c>
      <c r="D16" t="inlineStr">
        <is>
          <t>212</t>
        </is>
      </c>
      <c r="E16" s="2">
        <f>HYPERLINK("https://www.britishcycling.org.uk/points?person_id=451036&amp;year=2024&amp;type=national&amp;d=6","Results")</f>
        <v/>
      </c>
    </row>
    <row r="17">
      <c r="A17" t="inlineStr">
        <is>
          <t>16</t>
        </is>
      </c>
      <c r="B17" t="inlineStr">
        <is>
          <t>Lara Dix</t>
        </is>
      </c>
      <c r="C17" t="inlineStr">
        <is>
          <t>Mid Devon CC</t>
        </is>
      </c>
      <c r="D17" t="inlineStr">
        <is>
          <t>212</t>
        </is>
      </c>
      <c r="E17" s="2">
        <f>HYPERLINK("https://www.britishcycling.org.uk/points?person_id=611633&amp;year=2024&amp;type=national&amp;d=6","Results")</f>
        <v/>
      </c>
    </row>
    <row r="18">
      <c r="A18" t="inlineStr">
        <is>
          <t>17</t>
        </is>
      </c>
      <c r="B18" t="inlineStr">
        <is>
          <t>Lara Brown</t>
        </is>
      </c>
      <c r="C18" t="inlineStr">
        <is>
          <t>Sprockets Cycle Club</t>
        </is>
      </c>
      <c r="D18" t="inlineStr">
        <is>
          <t>208</t>
        </is>
      </c>
      <c r="E18" s="2">
        <f>HYPERLINK("https://www.britishcycling.org.uk/points?person_id=621138&amp;year=2024&amp;type=national&amp;d=6","Results")</f>
        <v/>
      </c>
    </row>
    <row r="19">
      <c r="A19" t="inlineStr">
        <is>
          <t>18</t>
        </is>
      </c>
      <c r="B19" t="inlineStr">
        <is>
          <t>Ingrid Gascoigne</t>
        </is>
      </c>
      <c r="C19" t="inlineStr">
        <is>
          <t>Team Empella</t>
        </is>
      </c>
      <c r="D19" t="inlineStr">
        <is>
          <t>208</t>
        </is>
      </c>
      <c r="E19" s="2">
        <f>HYPERLINK("https://www.britishcycling.org.uk/points?person_id=942830&amp;year=2024&amp;type=national&amp;d=6","Results")</f>
        <v/>
      </c>
    </row>
    <row r="20">
      <c r="A20" t="inlineStr">
        <is>
          <t>19</t>
        </is>
      </c>
      <c r="B20" t="inlineStr">
        <is>
          <t>Tulsi Bakrania</t>
        </is>
      </c>
      <c r="C20" t="inlineStr">
        <is>
          <t>Montezuma's Eventrex Race Team</t>
        </is>
      </c>
      <c r="D20" t="inlineStr">
        <is>
          <t>204</t>
        </is>
      </c>
      <c r="E20" s="2">
        <f>HYPERLINK("https://www.britishcycling.org.uk/points?person_id=294742&amp;year=2024&amp;type=national&amp;d=6","Results")</f>
        <v/>
      </c>
    </row>
    <row r="21">
      <c r="A21" t="inlineStr">
        <is>
          <t>20</t>
        </is>
      </c>
      <c r="B21" t="inlineStr">
        <is>
          <t>Ruby Isaac</t>
        </is>
      </c>
      <c r="C21" t="inlineStr">
        <is>
          <t>Welland Valley CC</t>
        </is>
      </c>
      <c r="D21" t="inlineStr">
        <is>
          <t>200</t>
        </is>
      </c>
      <c r="E21" s="2">
        <f>HYPERLINK("https://www.britishcycling.org.uk/points?person_id=507826&amp;year=2024&amp;type=national&amp;d=6","Results")</f>
        <v/>
      </c>
    </row>
    <row r="22">
      <c r="A22" t="inlineStr">
        <is>
          <t>21</t>
        </is>
      </c>
      <c r="B22" t="inlineStr">
        <is>
          <t>Tia Taylor</t>
        </is>
      </c>
      <c r="C22" t="inlineStr">
        <is>
          <t>Shibden Cycling Club</t>
        </is>
      </c>
      <c r="D22" t="inlineStr">
        <is>
          <t>200</t>
        </is>
      </c>
      <c r="E22" s="2">
        <f>HYPERLINK("https://www.britishcycling.org.uk/points?person_id=402927&amp;year=2024&amp;type=national&amp;d=6","Results")</f>
        <v/>
      </c>
    </row>
    <row r="23">
      <c r="A23" t="inlineStr">
        <is>
          <t>22</t>
        </is>
      </c>
      <c r="B23" t="inlineStr">
        <is>
          <t>Isabelle Dalgleish</t>
        </is>
      </c>
      <c r="C23" t="inlineStr">
        <is>
          <t>Cog Set Papyrus Racing Club</t>
        </is>
      </c>
      <c r="D23" t="inlineStr">
        <is>
          <t>188</t>
        </is>
      </c>
      <c r="E23" s="2">
        <f>HYPERLINK("https://www.britishcycling.org.uk/points?person_id=409714&amp;year=2024&amp;type=national&amp;d=6","Results")</f>
        <v/>
      </c>
    </row>
    <row r="24">
      <c r="A24" t="inlineStr">
        <is>
          <t>23</t>
        </is>
      </c>
      <c r="B24" t="inlineStr">
        <is>
          <t>Elena Green</t>
        </is>
      </c>
      <c r="C24" t="inlineStr">
        <is>
          <t>Huddersfield Star Wheelers</t>
        </is>
      </c>
      <c r="D24" t="inlineStr">
        <is>
          <t>186</t>
        </is>
      </c>
      <c r="E24" s="2">
        <f>HYPERLINK("https://www.britishcycling.org.uk/points?person_id=492131&amp;year=2024&amp;type=national&amp;d=6","Results")</f>
        <v/>
      </c>
    </row>
    <row r="25">
      <c r="A25" t="inlineStr">
        <is>
          <t>24</t>
        </is>
      </c>
      <c r="B25" t="inlineStr">
        <is>
          <t>Elsie Haygarth</t>
        </is>
      </c>
      <c r="C25" t="inlineStr">
        <is>
          <t>Wheelbase CabTech Castelli</t>
        </is>
      </c>
      <c r="D25" t="inlineStr">
        <is>
          <t>186</t>
        </is>
      </c>
      <c r="E25" s="2">
        <f>HYPERLINK("https://www.britishcycling.org.uk/points?person_id=517412&amp;year=2024&amp;type=national&amp;d=6","Results")</f>
        <v/>
      </c>
    </row>
    <row r="26">
      <c r="A26" t="inlineStr">
        <is>
          <t>25</t>
        </is>
      </c>
      <c r="B26" t="inlineStr">
        <is>
          <t>Helen Stevenson</t>
        </is>
      </c>
      <c r="C26" t="inlineStr">
        <is>
          <t>Cwmcarn Paragon Cycling Club</t>
        </is>
      </c>
      <c r="D26" t="inlineStr">
        <is>
          <t>182</t>
        </is>
      </c>
      <c r="E26" s="2">
        <f>HYPERLINK("https://www.britishcycling.org.uk/points?person_id=1032139&amp;year=2024&amp;type=national&amp;d=6","Results")</f>
        <v/>
      </c>
    </row>
    <row r="27">
      <c r="A27" t="inlineStr">
        <is>
          <t>26</t>
        </is>
      </c>
      <c r="B27" t="inlineStr">
        <is>
          <t>Amy Barnes</t>
        </is>
      </c>
      <c r="C27" t="inlineStr">
        <is>
          <t>Lichfield City CC</t>
        </is>
      </c>
      <c r="D27" t="inlineStr">
        <is>
          <t>180</t>
        </is>
      </c>
      <c r="E27" s="2">
        <f>HYPERLINK("https://www.britishcycling.org.uk/points?person_id=461153&amp;year=2024&amp;type=national&amp;d=6","Results")</f>
        <v/>
      </c>
    </row>
    <row r="28">
      <c r="A28" t="inlineStr">
        <is>
          <t>27</t>
        </is>
      </c>
      <c r="B28" t="inlineStr">
        <is>
          <t>Elise Whitaker</t>
        </is>
      </c>
      <c r="C28" t="inlineStr">
        <is>
          <t>Welwyn Wheelers CC</t>
        </is>
      </c>
      <c r="D28" t="inlineStr">
        <is>
          <t>174</t>
        </is>
      </c>
      <c r="E28" s="2">
        <f>HYPERLINK("https://www.britishcycling.org.uk/points?person_id=513385&amp;year=2024&amp;type=national&amp;d=6","Results")</f>
        <v/>
      </c>
    </row>
    <row r="29">
      <c r="A29" t="inlineStr">
        <is>
          <t>28</t>
        </is>
      </c>
      <c r="B29" t="inlineStr">
        <is>
          <t>Arabella Blackburn</t>
        </is>
      </c>
      <c r="C29" t="inlineStr">
        <is>
          <t>Trinity Racing Cross</t>
        </is>
      </c>
      <c r="D29" t="inlineStr">
        <is>
          <t>168</t>
        </is>
      </c>
      <c r="E29" s="2">
        <f>HYPERLINK("https://www.britishcycling.org.uk/points?person_id=678401&amp;year=2024&amp;type=national&amp;d=6","Results")</f>
        <v/>
      </c>
    </row>
    <row r="30">
      <c r="A30" t="inlineStr">
        <is>
          <t>29</t>
        </is>
      </c>
      <c r="B30" t="inlineStr">
        <is>
          <t>Efa Oliver</t>
        </is>
      </c>
      <c r="C30" t="inlineStr">
        <is>
          <t>Velo Myrddin CC powered by Y Beic</t>
        </is>
      </c>
      <c r="D30" t="inlineStr">
        <is>
          <t>162</t>
        </is>
      </c>
      <c r="E30" s="2">
        <f>HYPERLINK("https://www.britishcycling.org.uk/points?person_id=232311&amp;year=2024&amp;type=national&amp;d=6","Results")</f>
        <v/>
      </c>
    </row>
    <row r="31">
      <c r="A31" t="inlineStr">
        <is>
          <t>30</t>
        </is>
      </c>
      <c r="B31" t="inlineStr">
        <is>
          <t>Madeline Moorhouse Smith</t>
        </is>
      </c>
      <c r="C31" t="inlineStr">
        <is>
          <t>Hope Tech Factory Racing</t>
        </is>
      </c>
      <c r="D31" t="inlineStr">
        <is>
          <t>160</t>
        </is>
      </c>
      <c r="E31" s="2">
        <f>HYPERLINK("https://www.britishcycling.org.uk/points?person_id=845775&amp;year=2024&amp;type=national&amp;d=6","Results")</f>
        <v/>
      </c>
    </row>
    <row r="32">
      <c r="A32" t="inlineStr">
        <is>
          <t>31</t>
        </is>
      </c>
      <c r="B32" t="inlineStr">
        <is>
          <t>Aelwen Davies</t>
        </is>
      </c>
      <c r="C32" t="inlineStr">
        <is>
          <t>TORQ Performance</t>
        </is>
      </c>
      <c r="D32" t="inlineStr">
        <is>
          <t>156</t>
        </is>
      </c>
      <c r="E32" s="2">
        <f>HYPERLINK("https://www.britishcycling.org.uk/points?person_id=520963&amp;year=2024&amp;type=national&amp;d=6","Results")</f>
        <v/>
      </c>
    </row>
    <row r="33">
      <c r="A33" t="inlineStr">
        <is>
          <t>32</t>
        </is>
      </c>
      <c r="B33" t="inlineStr">
        <is>
          <t>Tilly Wadsworth</t>
        </is>
      </c>
      <c r="C33" t="inlineStr">
        <is>
          <t>Shibden Cycling Club</t>
        </is>
      </c>
      <c r="D33" t="inlineStr">
        <is>
          <t>156</t>
        </is>
      </c>
      <c r="E33" s="2">
        <f>HYPERLINK("https://www.britishcycling.org.uk/points?person_id=392128&amp;year=2024&amp;type=national&amp;d=6","Results")</f>
        <v/>
      </c>
    </row>
    <row r="34">
      <c r="A34" t="inlineStr">
        <is>
          <t>33</t>
        </is>
      </c>
      <c r="B34" t="inlineStr">
        <is>
          <t>Gemma Newall</t>
        </is>
      </c>
      <c r="C34" t="inlineStr">
        <is>
          <t>Team Empella</t>
        </is>
      </c>
      <c r="D34" t="inlineStr">
        <is>
          <t>154</t>
        </is>
      </c>
      <c r="E34" s="2">
        <f>HYPERLINK("https://www.britishcycling.org.uk/points?person_id=559570&amp;year=2024&amp;type=national&amp;d=6","Results")</f>
        <v/>
      </c>
    </row>
    <row r="35">
      <c r="A35" t="inlineStr">
        <is>
          <t>34</t>
        </is>
      </c>
      <c r="B35" t="inlineStr">
        <is>
          <t>Abigail Chaplin</t>
        </is>
      </c>
      <c r="C35" t="inlineStr">
        <is>
          <t>Discovery Junior Cycling Club</t>
        </is>
      </c>
      <c r="D35" t="inlineStr">
        <is>
          <t>148</t>
        </is>
      </c>
      <c r="E35" s="2">
        <f>HYPERLINK("https://www.britishcycling.org.uk/points?person_id=841595&amp;year=2024&amp;type=national&amp;d=6","Results")</f>
        <v/>
      </c>
    </row>
    <row r="36">
      <c r="A36" t="inlineStr">
        <is>
          <t>35</t>
        </is>
      </c>
      <c r="B36" t="inlineStr">
        <is>
          <t>Phoebe Taylor</t>
        </is>
      </c>
      <c r="C36" t="inlineStr">
        <is>
          <t>ESV Manchester</t>
        </is>
      </c>
      <c r="D36" t="inlineStr">
        <is>
          <t>148</t>
        </is>
      </c>
      <c r="E36" s="2">
        <f>HYPERLINK("https://www.britishcycling.org.uk/points?person_id=705997&amp;year=2024&amp;type=national&amp;d=6","Results")</f>
        <v/>
      </c>
    </row>
    <row r="37">
      <c r="A37" t="inlineStr">
        <is>
          <t>36</t>
        </is>
      </c>
      <c r="B37" t="inlineStr">
        <is>
          <t>Iona Simcock</t>
        </is>
      </c>
      <c r="C37" t="inlineStr">
        <is>
          <t>Team JMC</t>
        </is>
      </c>
      <c r="D37" t="inlineStr">
        <is>
          <t>146</t>
        </is>
      </c>
      <c r="E37" s="2">
        <f>HYPERLINK("https://www.britishcycling.org.uk/points?person_id=611990&amp;year=2024&amp;type=national&amp;d=6","Results")</f>
        <v/>
      </c>
    </row>
    <row r="38">
      <c r="A38" t="inlineStr">
        <is>
          <t>37</t>
        </is>
      </c>
      <c r="B38" t="inlineStr">
        <is>
          <t>Amelia Staunton</t>
        </is>
      </c>
      <c r="C38" t="inlineStr">
        <is>
          <t>Brother UK - On Form</t>
        </is>
      </c>
      <c r="D38" t="inlineStr">
        <is>
          <t>146</t>
        </is>
      </c>
      <c r="E38" s="2">
        <f>HYPERLINK("https://www.britishcycling.org.uk/points?person_id=883749&amp;year=2024&amp;type=national&amp;d=6","Results")</f>
        <v/>
      </c>
    </row>
    <row r="39">
      <c r="A39" t="inlineStr">
        <is>
          <t>38</t>
        </is>
      </c>
      <c r="B39" t="inlineStr">
        <is>
          <t>Aoife Byrne</t>
        </is>
      </c>
      <c r="C39" t="inlineStr">
        <is>
          <t>Calder Clarion CC</t>
        </is>
      </c>
      <c r="D39" t="inlineStr">
        <is>
          <t>138</t>
        </is>
      </c>
      <c r="E39" s="2">
        <f>HYPERLINK("https://www.britishcycling.org.uk/points?person_id=876434&amp;year=2024&amp;type=national&amp;d=6","Results")</f>
        <v/>
      </c>
    </row>
    <row r="40">
      <c r="A40" t="inlineStr">
        <is>
          <t>39</t>
        </is>
      </c>
      <c r="B40" t="inlineStr">
        <is>
          <t>Iris Gray</t>
        </is>
      </c>
      <c r="C40" t="inlineStr">
        <is>
          <t>Liv Cycling Club - Halo Films</t>
        </is>
      </c>
      <c r="D40" t="inlineStr">
        <is>
          <t>138</t>
        </is>
      </c>
      <c r="E40" s="2">
        <f>HYPERLINK("https://www.britishcycling.org.uk/points?person_id=981194&amp;year=2024&amp;type=national&amp;d=6","Results")</f>
        <v/>
      </c>
    </row>
    <row r="41">
      <c r="A41" t="inlineStr">
        <is>
          <t>40</t>
        </is>
      </c>
      <c r="B41" t="inlineStr">
        <is>
          <t>Eleina McFadden</t>
        </is>
      </c>
      <c r="C41" t="inlineStr">
        <is>
          <t>Inspire Racing Adaston Scape</t>
        </is>
      </c>
      <c r="D41" t="inlineStr">
        <is>
          <t>128</t>
        </is>
      </c>
      <c r="E41" s="2">
        <f>HYPERLINK("https://www.britishcycling.org.uk/points?person_id=659452&amp;year=2024&amp;type=national&amp;d=6","Results")</f>
        <v/>
      </c>
    </row>
    <row r="42">
      <c r="A42" t="inlineStr">
        <is>
          <t>41</t>
        </is>
      </c>
      <c r="B42" t="inlineStr">
        <is>
          <t>Isabella Boyles</t>
        </is>
      </c>
      <c r="C42" t="inlineStr">
        <is>
          <t>Banbury Star CC</t>
        </is>
      </c>
      <c r="D42" t="inlineStr">
        <is>
          <t>116</t>
        </is>
      </c>
      <c r="E42" s="2">
        <f>HYPERLINK("https://www.britishcycling.org.uk/points?person_id=840975&amp;year=2024&amp;type=national&amp;d=6","Results")</f>
        <v/>
      </c>
    </row>
    <row r="43">
      <c r="A43" t="inlineStr">
        <is>
          <t>42</t>
        </is>
      </c>
      <c r="B43" t="inlineStr">
        <is>
          <t>Ella Friedlander</t>
        </is>
      </c>
      <c r="C43" t="inlineStr">
        <is>
          <t>Cycle Club Ashwell (CCA)</t>
        </is>
      </c>
      <c r="D43" t="inlineStr">
        <is>
          <t>114</t>
        </is>
      </c>
      <c r="E43" s="2">
        <f>HYPERLINK("https://www.britishcycling.org.uk/points?person_id=520439&amp;year=2024&amp;type=national&amp;d=6","Results")</f>
        <v/>
      </c>
    </row>
    <row r="44">
      <c r="A44" t="inlineStr">
        <is>
          <t>43</t>
        </is>
      </c>
      <c r="B44" t="inlineStr">
        <is>
          <t>Isabelle Land</t>
        </is>
      </c>
      <c r="C44" t="inlineStr">
        <is>
          <t>Calder Clarion CC</t>
        </is>
      </c>
      <c r="D44" t="inlineStr">
        <is>
          <t>106</t>
        </is>
      </c>
      <c r="E44" s="2">
        <f>HYPERLINK("https://www.britishcycling.org.uk/points?person_id=1106754&amp;year=2024&amp;type=national&amp;d=6","Results")</f>
        <v/>
      </c>
    </row>
    <row r="45">
      <c r="A45" t="inlineStr">
        <is>
          <t>44</t>
        </is>
      </c>
      <c r="B45" t="inlineStr">
        <is>
          <t>Harriet Hendry</t>
        </is>
      </c>
      <c r="C45" t="inlineStr">
        <is>
          <t>Solas Cycling</t>
        </is>
      </c>
      <c r="D45" t="inlineStr">
        <is>
          <t>102</t>
        </is>
      </c>
      <c r="E45" s="2">
        <f>HYPERLINK("https://www.britishcycling.org.uk/points?person_id=456657&amp;year=2024&amp;type=national&amp;d=6","Results")</f>
        <v/>
      </c>
    </row>
    <row r="46">
      <c r="A46" t="inlineStr">
        <is>
          <t>45</t>
        </is>
      </c>
      <c r="B46" t="inlineStr">
        <is>
          <t>Aimee Taylor</t>
        </is>
      </c>
      <c r="C46" t="inlineStr">
        <is>
          <t>Palmer Park Velo RT</t>
        </is>
      </c>
      <c r="D46" t="inlineStr">
        <is>
          <t>98</t>
        </is>
      </c>
      <c r="E46" s="2">
        <f>HYPERLINK("https://www.britishcycling.org.uk/points?person_id=683076&amp;year=2024&amp;type=national&amp;d=6","Results")</f>
        <v/>
      </c>
    </row>
    <row r="47">
      <c r="A47" t="inlineStr">
        <is>
          <t>46</t>
        </is>
      </c>
      <c r="B47" t="inlineStr">
        <is>
          <t>Edith Davies</t>
        </is>
      </c>
      <c r="C47" t="inlineStr">
        <is>
          <t>Club Cyclopark</t>
        </is>
      </c>
      <c r="D47" t="inlineStr">
        <is>
          <t>92</t>
        </is>
      </c>
      <c r="E47" s="2">
        <f>HYPERLINK("https://www.britishcycling.org.uk/points?person_id=295396&amp;year=2024&amp;type=national&amp;d=6","Results")</f>
        <v/>
      </c>
    </row>
    <row r="48">
      <c r="A48" t="inlineStr">
        <is>
          <t>47</t>
        </is>
      </c>
      <c r="B48" t="inlineStr">
        <is>
          <t>Esme Pugh</t>
        </is>
      </c>
      <c r="C48" t="inlineStr">
        <is>
          <t>One Life Racing (Hexham)</t>
        </is>
      </c>
      <c r="D48" t="inlineStr">
        <is>
          <t>90</t>
        </is>
      </c>
      <c r="E48" s="2">
        <f>HYPERLINK("https://www.britishcycling.org.uk/points?person_id=1088694&amp;year=2024&amp;type=national&amp;d=6","Results")</f>
        <v/>
      </c>
    </row>
    <row r="49">
      <c r="A49" t="inlineStr">
        <is>
          <t>48</t>
        </is>
      </c>
      <c r="B49" t="inlineStr">
        <is>
          <t>Megan Dafydd</t>
        </is>
      </c>
      <c r="C49" t="inlineStr">
        <is>
          <t>Maindy Flyers CC</t>
        </is>
      </c>
      <c r="D49" t="inlineStr">
        <is>
          <t>88</t>
        </is>
      </c>
      <c r="E49" s="2">
        <f>HYPERLINK("https://www.britishcycling.org.uk/points?person_id=444876&amp;year=2024&amp;type=national&amp;d=6","Results")</f>
        <v/>
      </c>
    </row>
    <row r="50">
      <c r="A50" t="inlineStr">
        <is>
          <t>49</t>
        </is>
      </c>
      <c r="B50" t="inlineStr">
        <is>
          <t>Maia Howell</t>
        </is>
      </c>
      <c r="C50" t="inlineStr">
        <is>
          <t>Matlock CC</t>
        </is>
      </c>
      <c r="D50" t="inlineStr">
        <is>
          <t>86</t>
        </is>
      </c>
      <c r="E50" s="2">
        <f>HYPERLINK("https://www.britishcycling.org.uk/points?person_id=951331&amp;year=2024&amp;type=national&amp;d=6","Results")</f>
        <v/>
      </c>
    </row>
    <row r="51">
      <c r="A51" t="inlineStr">
        <is>
          <t>50</t>
        </is>
      </c>
      <c r="B51" t="inlineStr">
        <is>
          <t>Charlotte Hall</t>
        </is>
      </c>
      <c r="C51" t="inlineStr">
        <is>
          <t>Team Milton Keynes</t>
        </is>
      </c>
      <c r="D51" t="inlineStr">
        <is>
          <t>82</t>
        </is>
      </c>
      <c r="E51" s="2">
        <f>HYPERLINK("https://www.britishcycling.org.uk/points?person_id=821262&amp;year=2024&amp;type=national&amp;d=6","Results")</f>
        <v/>
      </c>
    </row>
    <row r="52">
      <c r="A52" t="inlineStr">
        <is>
          <t>51</t>
        </is>
      </c>
      <c r="B52" t="inlineStr">
        <is>
          <t>Alicia Reynolds</t>
        </is>
      </c>
      <c r="C52" t="inlineStr"/>
      <c r="D52" t="inlineStr">
        <is>
          <t>46</t>
        </is>
      </c>
      <c r="E52" s="2">
        <f>HYPERLINK("https://www.britishcycling.org.uk/points?person_id=1154834&amp;year=2024&amp;type=national&amp;d=6","Results")</f>
        <v/>
      </c>
    </row>
    <row r="53">
      <c r="A53" t="inlineStr">
        <is>
          <t>52</t>
        </is>
      </c>
      <c r="B53" t="inlineStr">
        <is>
          <t>Abby Johnston</t>
        </is>
      </c>
      <c r="C53" t="inlineStr">
        <is>
          <t>Salt Ayre Cog Set</t>
        </is>
      </c>
      <c r="D53" t="inlineStr">
        <is>
          <t>44</t>
        </is>
      </c>
      <c r="E53" s="2">
        <f>HYPERLINK("https://www.britishcycling.org.uk/points?person_id=688726&amp;year=2024&amp;type=national&amp;d=6","Results")</f>
        <v/>
      </c>
    </row>
    <row r="54">
      <c r="A54" t="inlineStr">
        <is>
          <t>53</t>
        </is>
      </c>
      <c r="B54" t="inlineStr">
        <is>
          <t>Issy Waugh</t>
        </is>
      </c>
      <c r="C54" t="inlineStr">
        <is>
          <t>Sheffield Youth Cycling Club</t>
        </is>
      </c>
      <c r="D54" t="inlineStr">
        <is>
          <t>44</t>
        </is>
      </c>
      <c r="E54" s="2">
        <f>HYPERLINK("https://www.britishcycling.org.uk/points?person_id=806591&amp;year=2024&amp;type=national&amp;d=6","Results")</f>
        <v/>
      </c>
    </row>
    <row r="55">
      <c r="A55" t="inlineStr">
        <is>
          <t>54</t>
        </is>
      </c>
      <c r="B55" t="inlineStr">
        <is>
          <t>Ella Greenall</t>
        </is>
      </c>
      <c r="C55" t="inlineStr">
        <is>
          <t>360cycling</t>
        </is>
      </c>
      <c r="D55" t="inlineStr">
        <is>
          <t>38</t>
        </is>
      </c>
      <c r="E55" s="2">
        <f>HYPERLINK("https://www.britishcycling.org.uk/points?person_id=1087104&amp;year=2024&amp;type=national&amp;d=6","Results")</f>
        <v/>
      </c>
    </row>
    <row r="56">
      <c r="A56" t="inlineStr">
        <is>
          <t>55</t>
        </is>
      </c>
      <c r="B56" t="inlineStr">
        <is>
          <t>Anna Lloyd</t>
        </is>
      </c>
      <c r="C56" t="inlineStr">
        <is>
          <t>VC Londres</t>
        </is>
      </c>
      <c r="D56" t="inlineStr">
        <is>
          <t>30</t>
        </is>
      </c>
      <c r="E56" s="2">
        <f>HYPERLINK("https://www.britishcycling.org.uk/points?person_id=306192&amp;year=2024&amp;type=national&amp;d=6","Results")</f>
        <v/>
      </c>
    </row>
    <row r="57">
      <c r="A57" t="inlineStr">
        <is>
          <t>56</t>
        </is>
      </c>
      <c r="B57" t="inlineStr">
        <is>
          <t>Betsy North</t>
        </is>
      </c>
      <c r="C57" t="inlineStr">
        <is>
          <t>LIOS Bikes</t>
        </is>
      </c>
      <c r="D57" t="inlineStr">
        <is>
          <t>30</t>
        </is>
      </c>
      <c r="E57" s="2">
        <f>HYPERLINK("https://www.britishcycling.org.uk/points?person_id=1119684&amp;year=2024&amp;type=national&amp;d=6","Results")</f>
        <v/>
      </c>
    </row>
    <row r="58">
      <c r="A58" t="inlineStr">
        <is>
          <t>57</t>
        </is>
      </c>
      <c r="B58" t="inlineStr">
        <is>
          <t>Ayesha Vose</t>
        </is>
      </c>
      <c r="C58" t="inlineStr">
        <is>
          <t>Brother UK - On Form</t>
        </is>
      </c>
      <c r="D58" t="inlineStr">
        <is>
          <t>26</t>
        </is>
      </c>
      <c r="E58" s="2">
        <f>HYPERLINK("https://www.britishcycling.org.uk/points?person_id=991440&amp;year=2024&amp;type=national&amp;d=6","Results")</f>
        <v/>
      </c>
    </row>
    <row r="59">
      <c r="A59" t="inlineStr">
        <is>
          <t>58</t>
        </is>
      </c>
      <c r="B59" t="inlineStr">
        <is>
          <t>Megan Hughes</t>
        </is>
      </c>
      <c r="C59" t="inlineStr">
        <is>
          <t>Welwyn Wheelers CC</t>
        </is>
      </c>
      <c r="D59" t="inlineStr">
        <is>
          <t>22</t>
        </is>
      </c>
      <c r="E59" s="2">
        <f>HYPERLINK("https://www.britishcycling.org.uk/points?person_id=711596&amp;year=2024&amp;type=national&amp;d=6","Results")</f>
        <v/>
      </c>
    </row>
    <row r="60">
      <c r="A60" t="inlineStr">
        <is>
          <t>59</t>
        </is>
      </c>
      <c r="B60" t="inlineStr">
        <is>
          <t>Eva Murphy</t>
        </is>
      </c>
      <c r="C60" t="inlineStr">
        <is>
          <t>Deeside Thistle CC</t>
        </is>
      </c>
      <c r="D60" t="inlineStr">
        <is>
          <t>22</t>
        </is>
      </c>
      <c r="E60" s="2">
        <f>HYPERLINK("https://www.britishcycling.org.uk/points?person_id=653974&amp;year=2024&amp;type=national&amp;d=6","Results")</f>
        <v/>
      </c>
    </row>
    <row r="61">
      <c r="A61" t="inlineStr">
        <is>
          <t>60</t>
        </is>
      </c>
      <c r="B61" t="inlineStr">
        <is>
          <t>Lola Stevenson</t>
        </is>
      </c>
      <c r="C61" t="inlineStr">
        <is>
          <t>Huddersfield Star Wheelers</t>
        </is>
      </c>
      <c r="D61" t="inlineStr">
        <is>
          <t>22</t>
        </is>
      </c>
      <c r="E61" s="2">
        <f>HYPERLINK("https://www.britishcycling.org.uk/points?person_id=725038&amp;year=2024&amp;type=national&amp;d=6","Results")</f>
        <v/>
      </c>
    </row>
    <row r="62">
      <c r="A62" t="inlineStr">
        <is>
          <t>61</t>
        </is>
      </c>
      <c r="B62" t="inlineStr">
        <is>
          <t>Bonita Waddams</t>
        </is>
      </c>
      <c r="C62" t="inlineStr"/>
      <c r="D62" t="inlineStr">
        <is>
          <t>22</t>
        </is>
      </c>
      <c r="E62" s="2">
        <f>HYPERLINK("https://www.britishcycling.org.uk/points?person_id=1156037&amp;year=2024&amp;type=national&amp;d=6","Results")</f>
        <v/>
      </c>
    </row>
    <row r="63">
      <c r="A63" t="inlineStr">
        <is>
          <t>62</t>
        </is>
      </c>
      <c r="B63" t="inlineStr">
        <is>
          <t>Elizabeth Wallace</t>
        </is>
      </c>
      <c r="C63" t="inlineStr">
        <is>
          <t>Lee Velo (South East London)</t>
        </is>
      </c>
      <c r="D63" t="inlineStr">
        <is>
          <t>22</t>
        </is>
      </c>
      <c r="E63" s="2">
        <f>HYPERLINK("https://www.britishcycling.org.uk/points?person_id=899657&amp;year=2024&amp;type=national&amp;d=6","Results")</f>
        <v/>
      </c>
    </row>
    <row r="64">
      <c r="A64" t="inlineStr">
        <is>
          <t>63</t>
        </is>
      </c>
      <c r="B64" t="inlineStr">
        <is>
          <t>Alizee Looby</t>
        </is>
      </c>
      <c r="C64" t="inlineStr">
        <is>
          <t>Hillingdon Slipstreamers</t>
        </is>
      </c>
      <c r="D64" t="inlineStr">
        <is>
          <t>20</t>
        </is>
      </c>
      <c r="E64" s="2">
        <f>HYPERLINK("https://www.britishcycling.org.uk/points?person_id=1155109&amp;year=2024&amp;type=national&amp;d=6","Results")</f>
        <v/>
      </c>
    </row>
    <row r="65">
      <c r="A65" t="inlineStr">
        <is>
          <t>64</t>
        </is>
      </c>
      <c r="B65" t="inlineStr">
        <is>
          <t>Holly Worthington</t>
        </is>
      </c>
      <c r="C65" t="inlineStr">
        <is>
          <t>Penge Cycle Club</t>
        </is>
      </c>
      <c r="D65" t="inlineStr">
        <is>
          <t>20</t>
        </is>
      </c>
      <c r="E65" s="2">
        <f>HYPERLINK("https://www.britishcycling.org.uk/points?person_id=1050092&amp;year=2024&amp;type=national&amp;d=6","Results")</f>
        <v/>
      </c>
    </row>
    <row r="66">
      <c r="A66" t="inlineStr">
        <is>
          <t>65</t>
        </is>
      </c>
      <c r="B66" t="inlineStr">
        <is>
          <t>Charlotte Clayson</t>
        </is>
      </c>
      <c r="C66" t="inlineStr">
        <is>
          <t>VC Deal</t>
        </is>
      </c>
      <c r="D66" t="inlineStr">
        <is>
          <t>18</t>
        </is>
      </c>
      <c r="E66" s="2">
        <f>HYPERLINK("https://www.britishcycling.org.uk/points?person_id=986188&amp;year=2024&amp;type=national&amp;d=6","Results")</f>
        <v/>
      </c>
    </row>
    <row r="67">
      <c r="A67" t="inlineStr">
        <is>
          <t>66</t>
        </is>
      </c>
      <c r="B67" t="inlineStr">
        <is>
          <t>Sarah Darling</t>
        </is>
      </c>
      <c r="C67" t="inlineStr">
        <is>
          <t>West Lothian Clarion CC</t>
        </is>
      </c>
      <c r="D67" t="inlineStr">
        <is>
          <t>18</t>
        </is>
      </c>
      <c r="E67" s="2">
        <f>HYPERLINK("https://www.britishcycling.org.uk/points?person_id=570820&amp;year=2024&amp;type=national&amp;d=6","Results")</f>
        <v/>
      </c>
    </row>
    <row r="68">
      <c r="A68" t="inlineStr">
        <is>
          <t>67</t>
        </is>
      </c>
      <c r="B68" t="inlineStr">
        <is>
          <t>Tess Byrne</t>
        </is>
      </c>
      <c r="C68" t="inlineStr">
        <is>
          <t>West Lothian Clarion CC</t>
        </is>
      </c>
      <c r="D68" t="inlineStr">
        <is>
          <t>16</t>
        </is>
      </c>
      <c r="E68" s="2">
        <f>HYPERLINK("https://www.britishcycling.org.uk/points?person_id=1111252&amp;year=2024&amp;type=national&amp;d=6","Results")</f>
        <v/>
      </c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F309"/>
  <sheetViews>
    <sheetView workbookViewId="0">
      <selection activeCell="A1" sqref="A1"/>
    </sheetView>
  </sheetViews>
  <sheetFormatPr baseColWidth="8" defaultRowHeight="15"/>
  <cols>
    <col width="8" customWidth="1" min="1" max="1"/>
    <col width="25" customWidth="1" min="2" max="2"/>
    <col width="50" customWidth="1" min="3" max="3"/>
    <col width="7" customWidth="1" min="4" max="4"/>
    <col width="20" customWidth="1" min="5" max="5"/>
  </cols>
  <sheetData>
    <row r="1">
      <c r="A1" s="1" t="inlineStr">
        <is>
          <t>Ranking</t>
        </is>
      </c>
      <c r="B1" s="1" t="inlineStr">
        <is>
          <t>Name</t>
        </is>
      </c>
      <c r="C1" s="1" t="inlineStr">
        <is>
          <t>Club/Team</t>
        </is>
      </c>
      <c r="D1" s="1" t="inlineStr">
        <is>
          <t>Points</t>
        </is>
      </c>
      <c r="E1" s="1" t="inlineStr">
        <is>
          <t>Detail (click)</t>
        </is>
      </c>
      <c r="F1" s="1" t="inlineStr">
        <is>
          <t>Updated: 2024-12-20</t>
        </is>
      </c>
    </row>
    <row r="2">
      <c r="A2" t="inlineStr">
        <is>
          <t>1</t>
        </is>
      </c>
      <c r="B2" t="inlineStr">
        <is>
          <t>Alderney Baker</t>
        </is>
      </c>
      <c r="C2" t="inlineStr">
        <is>
          <t>Team Empella</t>
        </is>
      </c>
      <c r="D2" t="inlineStr">
        <is>
          <t>470</t>
        </is>
      </c>
      <c r="E2" s="2">
        <f>HYPERLINK("https://www.britishcycling.org.uk/points?person_id=28775&amp;year=2024&amp;type=national&amp;d=6","Results")</f>
        <v/>
      </c>
    </row>
    <row r="3">
      <c r="A3" t="inlineStr">
        <is>
          <t>2</t>
        </is>
      </c>
      <c r="B3" t="inlineStr">
        <is>
          <t>Xan Crees</t>
        </is>
      </c>
      <c r="C3" t="inlineStr">
        <is>
          <t>Spectra Racing p/b DAS</t>
        </is>
      </c>
      <c r="D3" t="inlineStr">
        <is>
          <t>386</t>
        </is>
      </c>
      <c r="E3" s="2">
        <f>HYPERLINK("https://www.britishcycling.org.uk/points?person_id=224783&amp;year=2024&amp;type=national&amp;d=6","Results")</f>
        <v/>
      </c>
    </row>
    <row r="4">
      <c r="A4" t="inlineStr">
        <is>
          <t>3</t>
        </is>
      </c>
      <c r="B4" t="inlineStr">
        <is>
          <t>Kate Eedy</t>
        </is>
      </c>
      <c r="C4" t="inlineStr">
        <is>
          <t>Team Empella</t>
        </is>
      </c>
      <c r="D4" t="inlineStr">
        <is>
          <t>381</t>
        </is>
      </c>
      <c r="E4" s="2">
        <f>HYPERLINK("https://www.britishcycling.org.uk/points?person_id=23987&amp;year=2024&amp;type=national&amp;d=6","Results")</f>
        <v/>
      </c>
    </row>
    <row r="5">
      <c r="A5" t="inlineStr">
        <is>
          <t>4</t>
        </is>
      </c>
      <c r="B5" t="inlineStr">
        <is>
          <t>Sarah Toms</t>
        </is>
      </c>
      <c r="C5" t="inlineStr">
        <is>
          <t>Royal Air Force CA</t>
        </is>
      </c>
      <c r="D5" t="inlineStr">
        <is>
          <t>324</t>
        </is>
      </c>
      <c r="E5" s="2">
        <f>HYPERLINK("https://www.britishcycling.org.uk/points?person_id=710940&amp;year=2024&amp;type=national&amp;d=6","Results")</f>
        <v/>
      </c>
    </row>
    <row r="6">
      <c r="A6" t="inlineStr">
        <is>
          <t>5</t>
        </is>
      </c>
      <c r="B6" t="inlineStr">
        <is>
          <t>Ceris Styler</t>
        </is>
      </c>
      <c r="C6" t="inlineStr">
        <is>
          <t>ROTOR Race Team</t>
        </is>
      </c>
      <c r="D6" t="inlineStr">
        <is>
          <t>320</t>
        </is>
      </c>
      <c r="E6" s="2">
        <f>HYPERLINK("https://www.britishcycling.org.uk/points?person_id=3867&amp;year=2024&amp;type=national&amp;d=6","Results")</f>
        <v/>
      </c>
    </row>
    <row r="7">
      <c r="A7" t="inlineStr">
        <is>
          <t>6</t>
        </is>
      </c>
      <c r="B7" t="inlineStr">
        <is>
          <t>Honor Elliott</t>
        </is>
      </c>
      <c r="C7" t="inlineStr"/>
      <c r="D7" t="inlineStr">
        <is>
          <t>306</t>
        </is>
      </c>
      <c r="E7" s="2">
        <f>HYPERLINK("https://www.britishcycling.org.uk/points?person_id=617730&amp;year=2024&amp;type=national&amp;d=6","Results")</f>
        <v/>
      </c>
    </row>
    <row r="8">
      <c r="A8" t="inlineStr">
        <is>
          <t>7</t>
        </is>
      </c>
      <c r="B8" t="inlineStr">
        <is>
          <t>Esme Wiley</t>
        </is>
      </c>
      <c r="C8" t="inlineStr">
        <is>
          <t>London Academy</t>
        </is>
      </c>
      <c r="D8" t="inlineStr">
        <is>
          <t>300</t>
        </is>
      </c>
      <c r="E8" s="2">
        <f>HYPERLINK("https://www.britishcycling.org.uk/points?person_id=226256&amp;year=2024&amp;type=national&amp;d=6","Results")</f>
        <v/>
      </c>
    </row>
    <row r="9">
      <c r="A9" t="inlineStr">
        <is>
          <t>8</t>
        </is>
      </c>
      <c r="B9" t="inlineStr">
        <is>
          <t>Ffion Gilbert</t>
        </is>
      </c>
      <c r="C9" t="inlineStr"/>
      <c r="D9" t="inlineStr">
        <is>
          <t>290</t>
        </is>
      </c>
      <c r="E9" s="2">
        <f>HYPERLINK("https://www.britishcycling.org.uk/points?person_id=1033252&amp;year=2024&amp;type=national&amp;d=6","Results")</f>
        <v/>
      </c>
    </row>
    <row r="10">
      <c r="A10" t="inlineStr">
        <is>
          <t>9</t>
        </is>
      </c>
      <c r="B10" t="inlineStr">
        <is>
          <t>Gemma Felstead</t>
        </is>
      </c>
      <c r="C10" t="inlineStr">
        <is>
          <t>Team Empella</t>
        </is>
      </c>
      <c r="D10" t="inlineStr">
        <is>
          <t>283</t>
        </is>
      </c>
      <c r="E10" s="2">
        <f>HYPERLINK("https://www.britishcycling.org.uk/points?person_id=585180&amp;year=2024&amp;type=national&amp;d=6","Results")</f>
        <v/>
      </c>
    </row>
    <row r="11">
      <c r="A11" t="inlineStr">
        <is>
          <t>10</t>
        </is>
      </c>
      <c r="B11" t="inlineStr">
        <is>
          <t>Anna Flynn</t>
        </is>
      </c>
      <c r="C11" t="inlineStr">
        <is>
          <t>Spectra Racing p/b DAS</t>
        </is>
      </c>
      <c r="D11" t="inlineStr">
        <is>
          <t>280</t>
        </is>
      </c>
      <c r="E11" s="2">
        <f>HYPERLINK("https://www.britishcycling.org.uk/points?person_id=127808&amp;year=2024&amp;type=national&amp;d=6","Results")</f>
        <v/>
      </c>
    </row>
    <row r="12">
      <c r="A12" t="inlineStr">
        <is>
          <t>11</t>
        </is>
      </c>
      <c r="B12" t="inlineStr">
        <is>
          <t>Hope Inglis</t>
        </is>
      </c>
      <c r="C12" t="inlineStr">
        <is>
          <t>Spectra Racing p/b DAS</t>
        </is>
      </c>
      <c r="D12" t="inlineStr">
        <is>
          <t>273</t>
        </is>
      </c>
      <c r="E12" s="2">
        <f>HYPERLINK("https://www.britishcycling.org.uk/points?person_id=265182&amp;year=2024&amp;type=national&amp;d=6","Results")</f>
        <v/>
      </c>
    </row>
    <row r="13">
      <c r="A13" t="inlineStr">
        <is>
          <t>12</t>
        </is>
      </c>
      <c r="B13" t="inlineStr">
        <is>
          <t>Ruby James</t>
        </is>
      </c>
      <c r="C13" t="inlineStr">
        <is>
          <t>Hope Factory Racing</t>
        </is>
      </c>
      <c r="D13" t="inlineStr">
        <is>
          <t>270</t>
        </is>
      </c>
      <c r="E13" s="2">
        <f>HYPERLINK("https://www.britishcycling.org.uk/points?person_id=53547&amp;year=2024&amp;type=national&amp;d=6","Results")</f>
        <v/>
      </c>
    </row>
    <row r="14">
      <c r="A14" t="inlineStr">
        <is>
          <t>13</t>
        </is>
      </c>
      <c r="B14" t="inlineStr">
        <is>
          <t>Elspeth Grace</t>
        </is>
      </c>
      <c r="C14" t="inlineStr">
        <is>
          <t>Cambridge CC</t>
        </is>
      </c>
      <c r="D14" t="inlineStr">
        <is>
          <t>264</t>
        </is>
      </c>
      <c r="E14" s="2">
        <f>HYPERLINK("https://www.britishcycling.org.uk/points?person_id=269927&amp;year=2024&amp;type=national&amp;d=6","Results")</f>
        <v/>
      </c>
    </row>
    <row r="15">
      <c r="A15" t="inlineStr">
        <is>
          <t>14</t>
        </is>
      </c>
      <c r="B15" t="inlineStr">
        <is>
          <t>Helen Ralston</t>
        </is>
      </c>
      <c r="C15" t="inlineStr">
        <is>
          <t>Paceline RT</t>
        </is>
      </c>
      <c r="D15" t="inlineStr">
        <is>
          <t>244</t>
        </is>
      </c>
      <c r="E15" s="2">
        <f>HYPERLINK("https://www.britishcycling.org.uk/points?person_id=129153&amp;year=2024&amp;type=national&amp;d=6","Results")</f>
        <v/>
      </c>
    </row>
    <row r="16">
      <c r="A16" t="inlineStr">
        <is>
          <t>15</t>
        </is>
      </c>
      <c r="B16" t="inlineStr">
        <is>
          <t>Sophie Thackray</t>
        </is>
      </c>
      <c r="C16" t="inlineStr">
        <is>
          <t>Paul Milnes - Bradford Olympic RC</t>
        </is>
      </c>
      <c r="D16" t="inlineStr">
        <is>
          <t>244</t>
        </is>
      </c>
      <c r="E16" s="2">
        <f>HYPERLINK("https://www.britishcycling.org.uk/points?person_id=197427&amp;year=2024&amp;type=national&amp;d=6","Results")</f>
        <v/>
      </c>
    </row>
    <row r="17">
      <c r="A17" t="inlineStr">
        <is>
          <t>16</t>
        </is>
      </c>
      <c r="B17" t="inlineStr">
        <is>
          <t>Megan Bettles</t>
        </is>
      </c>
      <c r="C17" t="inlineStr">
        <is>
          <t>Numplumz Mountainbikers</t>
        </is>
      </c>
      <c r="D17" t="inlineStr">
        <is>
          <t>227</t>
        </is>
      </c>
      <c r="E17" s="2">
        <f>HYPERLINK("https://www.britishcycling.org.uk/points?person_id=125452&amp;year=2024&amp;type=national&amp;d=6","Results")</f>
        <v/>
      </c>
    </row>
    <row r="18">
      <c r="A18" t="inlineStr">
        <is>
          <t>17</t>
        </is>
      </c>
      <c r="B18" t="inlineStr">
        <is>
          <t>Rowena Duffield</t>
        </is>
      </c>
      <c r="C18" t="inlineStr">
        <is>
          <t>Cwmcarn Paragon Cycling Club</t>
        </is>
      </c>
      <c r="D18" t="inlineStr">
        <is>
          <t>226</t>
        </is>
      </c>
      <c r="E18" s="2">
        <f>HYPERLINK("https://www.britishcycling.org.uk/points?person_id=731423&amp;year=2024&amp;type=national&amp;d=6","Results")</f>
        <v/>
      </c>
    </row>
    <row r="19">
      <c r="A19" t="inlineStr">
        <is>
          <t>18</t>
        </is>
      </c>
      <c r="B19" t="inlineStr">
        <is>
          <t>Vickie Wilkinson</t>
        </is>
      </c>
      <c r="C19" t="inlineStr">
        <is>
          <t>Cheltenham &amp; County Cycling Club</t>
        </is>
      </c>
      <c r="D19" t="inlineStr">
        <is>
          <t>226</t>
        </is>
      </c>
      <c r="E19" s="2">
        <f>HYPERLINK("https://www.britishcycling.org.uk/points?person_id=352359&amp;year=2024&amp;type=national&amp;d=6","Results")</f>
        <v/>
      </c>
    </row>
    <row r="20">
      <c r="A20" t="inlineStr">
        <is>
          <t>19</t>
        </is>
      </c>
      <c r="B20" t="inlineStr">
        <is>
          <t>Elena Day</t>
        </is>
      </c>
      <c r="C20" t="inlineStr">
        <is>
          <t>Spectra Racing p/b DAS</t>
        </is>
      </c>
      <c r="D20" t="inlineStr">
        <is>
          <t>222</t>
        </is>
      </c>
      <c r="E20" s="2">
        <f>HYPERLINK("https://www.britishcycling.org.uk/points?person_id=307633&amp;year=2024&amp;type=national&amp;d=6","Results")</f>
        <v/>
      </c>
    </row>
    <row r="21">
      <c r="A21" t="inlineStr">
        <is>
          <t>20</t>
        </is>
      </c>
      <c r="B21" t="inlineStr">
        <is>
          <t>Evgeniya Righini-Brand</t>
        </is>
      </c>
      <c r="C21" t="inlineStr">
        <is>
          <t>Spalding Cycling Club</t>
        </is>
      </c>
      <c r="D21" t="inlineStr">
        <is>
          <t>222</t>
        </is>
      </c>
      <c r="E21" s="2">
        <f>HYPERLINK("https://www.britishcycling.org.uk/points?person_id=965566&amp;year=2024&amp;type=national&amp;d=6","Results")</f>
        <v/>
      </c>
    </row>
    <row r="22">
      <c r="A22" t="inlineStr">
        <is>
          <t>21</t>
        </is>
      </c>
      <c r="B22" t="inlineStr">
        <is>
          <t>Alice Colling</t>
        </is>
      </c>
      <c r="C22" t="inlineStr">
        <is>
          <t>Shibden Cycling Club</t>
        </is>
      </c>
      <c r="D22" t="inlineStr">
        <is>
          <t>220</t>
        </is>
      </c>
      <c r="E22" s="2">
        <f>HYPERLINK("https://www.britishcycling.org.uk/points?person_id=232664&amp;year=2024&amp;type=national&amp;d=6","Results")</f>
        <v/>
      </c>
    </row>
    <row r="23">
      <c r="A23" t="inlineStr">
        <is>
          <t>22</t>
        </is>
      </c>
      <c r="B23" t="inlineStr">
        <is>
          <t>Genevieve Billington</t>
        </is>
      </c>
      <c r="C23" t="inlineStr">
        <is>
          <t>Bromsgrove Olympique CC</t>
        </is>
      </c>
      <c r="D23" t="inlineStr">
        <is>
          <t>219</t>
        </is>
      </c>
      <c r="E23" s="2">
        <f>HYPERLINK("https://www.britishcycling.org.uk/points?person_id=65655&amp;year=2024&amp;type=national&amp;d=6","Results")</f>
        <v/>
      </c>
    </row>
    <row r="24">
      <c r="A24" t="inlineStr">
        <is>
          <t>23</t>
        </is>
      </c>
      <c r="B24" t="inlineStr">
        <is>
          <t>Elizabeth Hughes</t>
        </is>
      </c>
      <c r="C24" t="inlineStr">
        <is>
          <t>Mudbath CC</t>
        </is>
      </c>
      <c r="D24" t="inlineStr">
        <is>
          <t>210</t>
        </is>
      </c>
      <c r="E24" s="2">
        <f>HYPERLINK("https://www.britishcycling.org.uk/points?person_id=409283&amp;year=2024&amp;type=national&amp;d=6","Results")</f>
        <v/>
      </c>
    </row>
    <row r="25">
      <c r="A25" t="inlineStr">
        <is>
          <t>24</t>
        </is>
      </c>
      <c r="B25" t="inlineStr">
        <is>
          <t>Kacey Eyeington</t>
        </is>
      </c>
      <c r="C25" t="inlineStr">
        <is>
          <t>SCOTT Pioneer DJ</t>
        </is>
      </c>
      <c r="D25" t="inlineStr">
        <is>
          <t>195</t>
        </is>
      </c>
      <c r="E25" s="2">
        <f>HYPERLINK("https://www.britishcycling.org.uk/points?person_id=190070&amp;year=2024&amp;type=national&amp;d=6","Results")</f>
        <v/>
      </c>
    </row>
    <row r="26">
      <c r="A26" t="inlineStr">
        <is>
          <t>25</t>
        </is>
      </c>
      <c r="B26" t="inlineStr">
        <is>
          <t>Natasha Reddy</t>
        </is>
      </c>
      <c r="C26" t="inlineStr">
        <is>
          <t>Team Empella</t>
        </is>
      </c>
      <c r="D26" t="inlineStr">
        <is>
          <t>194</t>
        </is>
      </c>
      <c r="E26" s="2">
        <f>HYPERLINK("https://www.britishcycling.org.uk/points?person_id=307112&amp;year=2024&amp;type=national&amp;d=6","Results")</f>
        <v/>
      </c>
    </row>
    <row r="27">
      <c r="A27" t="inlineStr">
        <is>
          <t>26</t>
        </is>
      </c>
      <c r="B27" t="inlineStr">
        <is>
          <t>Isla Rowntree</t>
        </is>
      </c>
      <c r="C27" t="inlineStr">
        <is>
          <t>Stourbridge CC</t>
        </is>
      </c>
      <c r="D27" t="inlineStr">
        <is>
          <t>190</t>
        </is>
      </c>
      <c r="E27" s="2">
        <f>HYPERLINK("https://www.britishcycling.org.uk/points?person_id=21208&amp;year=2024&amp;type=national&amp;d=6","Results")</f>
        <v/>
      </c>
    </row>
    <row r="28">
      <c r="A28" t="inlineStr">
        <is>
          <t>27</t>
        </is>
      </c>
      <c r="B28" t="inlineStr">
        <is>
          <t>Carla Crook</t>
        </is>
      </c>
      <c r="C28" t="inlineStr">
        <is>
          <t>Royston Cycling Club</t>
        </is>
      </c>
      <c r="D28" t="inlineStr">
        <is>
          <t>188</t>
        </is>
      </c>
      <c r="E28" s="2">
        <f>HYPERLINK("https://www.britishcycling.org.uk/points?person_id=1122197&amp;year=2024&amp;type=national&amp;d=6","Results")</f>
        <v/>
      </c>
    </row>
    <row r="29">
      <c r="A29" t="inlineStr">
        <is>
          <t>28</t>
        </is>
      </c>
      <c r="B29" t="inlineStr">
        <is>
          <t>Natalie Jenks</t>
        </is>
      </c>
      <c r="C29" t="inlineStr">
        <is>
          <t>Magspeed Racing</t>
        </is>
      </c>
      <c r="D29" t="inlineStr">
        <is>
          <t>188</t>
        </is>
      </c>
      <c r="E29" s="2">
        <f>HYPERLINK("https://www.britishcycling.org.uk/points?person_id=870930&amp;year=2024&amp;type=national&amp;d=6","Results")</f>
        <v/>
      </c>
    </row>
    <row r="30">
      <c r="A30" t="inlineStr">
        <is>
          <t>29</t>
        </is>
      </c>
      <c r="B30" t="inlineStr">
        <is>
          <t>Madeline Cooper</t>
        </is>
      </c>
      <c r="C30" t="inlineStr">
        <is>
          <t>Montezuma's Eventrex Race Team</t>
        </is>
      </c>
      <c r="D30" t="inlineStr">
        <is>
          <t>186</t>
        </is>
      </c>
      <c r="E30" s="2">
        <f>HYPERLINK("https://www.britishcycling.org.uk/points?person_id=229551&amp;year=2024&amp;type=national&amp;d=6","Results")</f>
        <v/>
      </c>
    </row>
    <row r="31">
      <c r="A31" t="inlineStr">
        <is>
          <t>30</t>
        </is>
      </c>
      <c r="B31" t="inlineStr">
        <is>
          <t>Anna Kay</t>
        </is>
      </c>
      <c r="C31" t="inlineStr">
        <is>
          <t>Proximus - Cyclis CT</t>
        </is>
      </c>
      <c r="D31" t="inlineStr">
        <is>
          <t>186</t>
        </is>
      </c>
      <c r="E31" s="2">
        <f>HYPERLINK("https://www.britishcycling.org.uk/points?person_id=252892&amp;year=2024&amp;type=national&amp;d=6","Results")</f>
        <v/>
      </c>
    </row>
    <row r="32">
      <c r="A32" t="inlineStr">
        <is>
          <t>31</t>
        </is>
      </c>
      <c r="B32" t="inlineStr">
        <is>
          <t>Rebecca Preece</t>
        </is>
      </c>
      <c r="C32" t="inlineStr">
        <is>
          <t>Hope Factory Racing</t>
        </is>
      </c>
      <c r="D32" t="inlineStr">
        <is>
          <t>185</t>
        </is>
      </c>
      <c r="E32" s="2">
        <f>HYPERLINK("https://www.britishcycling.org.uk/points?person_id=55960&amp;year=2024&amp;type=national&amp;d=6","Results")</f>
        <v/>
      </c>
    </row>
    <row r="33">
      <c r="A33" t="inlineStr">
        <is>
          <t>32</t>
        </is>
      </c>
      <c r="B33" t="inlineStr">
        <is>
          <t>Cassandra Mackintosh</t>
        </is>
      </c>
      <c r="C33" t="inlineStr">
        <is>
          <t>Shibden Cycling Club</t>
        </is>
      </c>
      <c r="D33" t="inlineStr">
        <is>
          <t>179</t>
        </is>
      </c>
      <c r="E33" s="2">
        <f>HYPERLINK("https://www.britishcycling.org.uk/points?person_id=477590&amp;year=2024&amp;type=national&amp;d=6","Results")</f>
        <v/>
      </c>
    </row>
    <row r="34">
      <c r="A34" t="inlineStr">
        <is>
          <t>33</t>
        </is>
      </c>
      <c r="B34" t="inlineStr">
        <is>
          <t>Pamela Challen</t>
        </is>
      </c>
      <c r="C34" t="inlineStr">
        <is>
          <t>VC VELDRIJDEN</t>
        </is>
      </c>
      <c r="D34" t="inlineStr">
        <is>
          <t>176</t>
        </is>
      </c>
      <c r="E34" s="2">
        <f>HYPERLINK("https://www.britishcycling.org.uk/points?person_id=406992&amp;year=2024&amp;type=national&amp;d=6","Results")</f>
        <v/>
      </c>
    </row>
    <row r="35">
      <c r="A35" t="inlineStr">
        <is>
          <t>34</t>
        </is>
      </c>
      <c r="B35" t="inlineStr">
        <is>
          <t>Jessie Sleight</t>
        </is>
      </c>
      <c r="C35" t="inlineStr"/>
      <c r="D35" t="inlineStr">
        <is>
          <t>173</t>
        </is>
      </c>
      <c r="E35" s="2">
        <f>HYPERLINK("https://www.britishcycling.org.uk/points?person_id=65708&amp;year=2024&amp;type=national&amp;d=6","Results")</f>
        <v/>
      </c>
    </row>
    <row r="36">
      <c r="A36" t="inlineStr">
        <is>
          <t>35</t>
        </is>
      </c>
      <c r="B36" t="inlineStr">
        <is>
          <t>Tracey Corcoran</t>
        </is>
      </c>
      <c r="C36" t="inlineStr">
        <is>
          <t>Plymouth Corinthian CC</t>
        </is>
      </c>
      <c r="D36" t="inlineStr">
        <is>
          <t>168</t>
        </is>
      </c>
      <c r="E36" s="2">
        <f>HYPERLINK("https://www.britishcycling.org.uk/points?person_id=846241&amp;year=2024&amp;type=national&amp;d=6","Results")</f>
        <v/>
      </c>
    </row>
    <row r="37">
      <c r="A37" t="inlineStr">
        <is>
          <t>36</t>
        </is>
      </c>
      <c r="B37" t="inlineStr">
        <is>
          <t>Larissa Alexander</t>
        </is>
      </c>
      <c r="C37" t="inlineStr">
        <is>
          <t>Coalville Wheelers CC</t>
        </is>
      </c>
      <c r="D37" t="inlineStr">
        <is>
          <t>167</t>
        </is>
      </c>
      <c r="E37" s="2">
        <f>HYPERLINK("https://www.britishcycling.org.uk/points?person_id=474435&amp;year=2024&amp;type=national&amp;d=6","Results")</f>
        <v/>
      </c>
    </row>
    <row r="38">
      <c r="A38" t="inlineStr">
        <is>
          <t>37</t>
        </is>
      </c>
      <c r="B38" t="inlineStr">
        <is>
          <t>Megan Free</t>
        </is>
      </c>
      <c r="C38" t="inlineStr">
        <is>
          <t>West Suffolk Wheelers</t>
        </is>
      </c>
      <c r="D38" t="inlineStr">
        <is>
          <t>167</t>
        </is>
      </c>
      <c r="E38" s="2">
        <f>HYPERLINK("https://www.britishcycling.org.uk/points?person_id=536651&amp;year=2024&amp;type=national&amp;d=6","Results")</f>
        <v/>
      </c>
    </row>
    <row r="39">
      <c r="A39" t="inlineStr">
        <is>
          <t>38</t>
        </is>
      </c>
      <c r="B39" t="inlineStr">
        <is>
          <t>Emily Jones</t>
        </is>
      </c>
      <c r="C39" t="inlineStr">
        <is>
          <t>Southampton University Road Club</t>
        </is>
      </c>
      <c r="D39" t="inlineStr">
        <is>
          <t>164</t>
        </is>
      </c>
      <c r="E39" s="2">
        <f>HYPERLINK("https://www.britishcycling.org.uk/points?person_id=1088527&amp;year=2024&amp;type=national&amp;d=6","Results")</f>
        <v/>
      </c>
    </row>
    <row r="40">
      <c r="A40" t="inlineStr">
        <is>
          <t>39</t>
        </is>
      </c>
      <c r="B40" t="inlineStr">
        <is>
          <t>Ishbel Strathdee</t>
        </is>
      </c>
      <c r="C40" t="inlineStr">
        <is>
          <t>Team HUP</t>
        </is>
      </c>
      <c r="D40" t="inlineStr">
        <is>
          <t>164</t>
        </is>
      </c>
      <c r="E40" s="2">
        <f>HYPERLINK("https://www.britishcycling.org.uk/points?person_id=170909&amp;year=2024&amp;type=national&amp;d=6","Results")</f>
        <v/>
      </c>
    </row>
    <row r="41">
      <c r="A41" t="inlineStr">
        <is>
          <t>40</t>
        </is>
      </c>
      <c r="B41" t="inlineStr">
        <is>
          <t>Catherine Kilburn</t>
        </is>
      </c>
      <c r="C41" t="inlineStr">
        <is>
          <t>Mid Devon CC</t>
        </is>
      </c>
      <c r="D41" t="inlineStr">
        <is>
          <t>162</t>
        </is>
      </c>
      <c r="E41" s="2">
        <f>HYPERLINK("https://www.britishcycling.org.uk/points?person_id=313214&amp;year=2024&amp;type=national&amp;d=6","Results")</f>
        <v/>
      </c>
    </row>
    <row r="42">
      <c r="A42" t="inlineStr">
        <is>
          <t>41</t>
        </is>
      </c>
      <c r="B42" t="inlineStr">
        <is>
          <t>Lucy Siddle</t>
        </is>
      </c>
      <c r="C42" t="inlineStr">
        <is>
          <t>Reifen Racing</t>
        </is>
      </c>
      <c r="D42" t="inlineStr">
        <is>
          <t>162</t>
        </is>
      </c>
      <c r="E42" s="2">
        <f>HYPERLINK("https://www.britishcycling.org.uk/points?person_id=400718&amp;year=2024&amp;type=national&amp;d=6","Results")</f>
        <v/>
      </c>
    </row>
    <row r="43">
      <c r="A43" t="inlineStr">
        <is>
          <t>42</t>
        </is>
      </c>
      <c r="B43" t="inlineStr">
        <is>
          <t>Miriam Whitehurst</t>
        </is>
      </c>
      <c r="C43" t="inlineStr">
        <is>
          <t>Reflex Nopinz</t>
        </is>
      </c>
      <c r="D43" t="inlineStr">
        <is>
          <t>160</t>
        </is>
      </c>
      <c r="E43" s="2">
        <f>HYPERLINK("https://www.britishcycling.org.uk/points?person_id=47153&amp;year=2024&amp;type=national&amp;d=6","Results")</f>
        <v/>
      </c>
    </row>
    <row r="44">
      <c r="A44" t="inlineStr">
        <is>
          <t>43</t>
        </is>
      </c>
      <c r="B44" t="inlineStr">
        <is>
          <t>Abbie Taylor</t>
        </is>
      </c>
      <c r="C44" t="inlineStr">
        <is>
          <t>Jadan Vive le Velo Glasdon</t>
        </is>
      </c>
      <c r="D44" t="inlineStr">
        <is>
          <t>159</t>
        </is>
      </c>
      <c r="E44" s="2">
        <f>HYPERLINK("https://www.britishcycling.org.uk/points?person_id=66959&amp;year=2024&amp;type=national&amp;d=6","Results")</f>
        <v/>
      </c>
    </row>
    <row r="45">
      <c r="A45" t="inlineStr">
        <is>
          <t>44</t>
        </is>
      </c>
      <c r="B45" t="inlineStr">
        <is>
          <t>Jennifer Andrews</t>
        </is>
      </c>
      <c r="C45" t="inlineStr">
        <is>
          <t>Cycle Club Ashwell (CCA)</t>
        </is>
      </c>
      <c r="D45" t="inlineStr">
        <is>
          <t>156</t>
        </is>
      </c>
      <c r="E45" s="2">
        <f>HYPERLINK("https://www.britishcycling.org.uk/points?person_id=439182&amp;year=2024&amp;type=national&amp;d=6","Results")</f>
        <v/>
      </c>
    </row>
    <row r="46">
      <c r="A46" t="inlineStr">
        <is>
          <t>45</t>
        </is>
      </c>
      <c r="B46" t="inlineStr">
        <is>
          <t>Anwen Nesham</t>
        </is>
      </c>
      <c r="C46" t="inlineStr">
        <is>
          <t>Cardiff JIF</t>
        </is>
      </c>
      <c r="D46" t="inlineStr">
        <is>
          <t>156</t>
        </is>
      </c>
      <c r="E46" s="2">
        <f>HYPERLINK("https://www.britishcycling.org.uk/points?person_id=233769&amp;year=2024&amp;type=national&amp;d=6","Results")</f>
        <v/>
      </c>
    </row>
    <row r="47">
      <c r="A47" t="inlineStr">
        <is>
          <t>46</t>
        </is>
      </c>
      <c r="B47" t="inlineStr">
        <is>
          <t>Bryony Halcrow</t>
        </is>
      </c>
      <c r="C47" t="inlineStr">
        <is>
          <t>Hope Tech Factory Racing</t>
        </is>
      </c>
      <c r="D47" t="inlineStr">
        <is>
          <t>153</t>
        </is>
      </c>
      <c r="E47" s="2">
        <f>HYPERLINK("https://www.britishcycling.org.uk/points?person_id=1137040&amp;year=2024&amp;type=national&amp;d=6","Results")</f>
        <v/>
      </c>
    </row>
    <row r="48">
      <c r="A48" t="inlineStr">
        <is>
          <t>47</t>
        </is>
      </c>
      <c r="B48" t="inlineStr">
        <is>
          <t>Claire Jones</t>
        </is>
      </c>
      <c r="C48" t="inlineStr">
        <is>
          <t>Clifton CC</t>
        </is>
      </c>
      <c r="D48" t="inlineStr">
        <is>
          <t>152</t>
        </is>
      </c>
      <c r="E48" s="2">
        <f>HYPERLINK("https://www.britishcycling.org.uk/points?person_id=1028416&amp;year=2024&amp;type=national&amp;d=6","Results")</f>
        <v/>
      </c>
    </row>
    <row r="49">
      <c r="A49" t="inlineStr">
        <is>
          <t>48</t>
        </is>
      </c>
      <c r="B49" t="inlineStr">
        <is>
          <t>Ailsa Neely</t>
        </is>
      </c>
      <c r="C49" t="inlineStr">
        <is>
          <t>Solihull CC</t>
        </is>
      </c>
      <c r="D49" t="inlineStr">
        <is>
          <t>150</t>
        </is>
      </c>
      <c r="E49" s="2">
        <f>HYPERLINK("https://www.britishcycling.org.uk/points?person_id=660755&amp;year=2024&amp;type=national&amp;d=6","Results")</f>
        <v/>
      </c>
    </row>
    <row r="50">
      <c r="A50" t="inlineStr">
        <is>
          <t>49</t>
        </is>
      </c>
      <c r="B50" t="inlineStr">
        <is>
          <t>Eola Canham</t>
        </is>
      </c>
      <c r="C50" t="inlineStr">
        <is>
          <t>Rapha Cycling Club</t>
        </is>
      </c>
      <c r="D50" t="inlineStr">
        <is>
          <t>149</t>
        </is>
      </c>
      <c r="E50" s="2">
        <f>HYPERLINK("https://www.britishcycling.org.uk/points?person_id=556277&amp;year=2024&amp;type=national&amp;d=6","Results")</f>
        <v/>
      </c>
    </row>
    <row r="51">
      <c r="A51" t="inlineStr">
        <is>
          <t>50</t>
        </is>
      </c>
      <c r="B51" t="inlineStr">
        <is>
          <t>Christina Wiejak</t>
        </is>
      </c>
      <c r="C51" t="inlineStr">
        <is>
          <t>Barrow Central Wheelers</t>
        </is>
      </c>
      <c r="D51" t="inlineStr">
        <is>
          <t>149</t>
        </is>
      </c>
      <c r="E51" s="2">
        <f>HYPERLINK("https://www.britishcycling.org.uk/points?person_id=177183&amp;year=2024&amp;type=national&amp;d=6","Results")</f>
        <v/>
      </c>
    </row>
    <row r="52">
      <c r="A52" t="inlineStr">
        <is>
          <t>51</t>
        </is>
      </c>
      <c r="B52" t="inlineStr">
        <is>
          <t>Katie Scott</t>
        </is>
      </c>
      <c r="C52" t="inlineStr">
        <is>
          <t>Spectra Racing p/b DAS</t>
        </is>
      </c>
      <c r="D52" t="inlineStr">
        <is>
          <t>147</t>
        </is>
      </c>
      <c r="E52" s="2">
        <f>HYPERLINK("https://www.britishcycling.org.uk/points?person_id=251465&amp;year=2024&amp;type=national&amp;d=6","Results")</f>
        <v/>
      </c>
    </row>
    <row r="53">
      <c r="A53" t="inlineStr">
        <is>
          <t>52</t>
        </is>
      </c>
      <c r="B53" t="inlineStr">
        <is>
          <t>Alex Morrice</t>
        </is>
      </c>
      <c r="C53" t="inlineStr">
        <is>
          <t>CANYON // SRAM Racing Team</t>
        </is>
      </c>
      <c r="D53" t="inlineStr">
        <is>
          <t>145</t>
        </is>
      </c>
      <c r="E53" s="2">
        <f>HYPERLINK("https://www.britishcycling.org.uk/points?person_id=1036670&amp;year=2024&amp;type=national&amp;d=6","Results")</f>
        <v/>
      </c>
    </row>
    <row r="54">
      <c r="A54" t="inlineStr">
        <is>
          <t>53</t>
        </is>
      </c>
      <c r="B54" t="inlineStr">
        <is>
          <t>Melissa Baker</t>
        </is>
      </c>
      <c r="C54" t="inlineStr">
        <is>
          <t>Team Empella</t>
        </is>
      </c>
      <c r="D54" t="inlineStr">
        <is>
          <t>144</t>
        </is>
      </c>
      <c r="E54" s="2">
        <f>HYPERLINK("https://www.britishcycling.org.uk/points?person_id=281746&amp;year=2024&amp;type=national&amp;d=6","Results")</f>
        <v/>
      </c>
    </row>
    <row r="55">
      <c r="A55" t="inlineStr">
        <is>
          <t>54</t>
        </is>
      </c>
      <c r="B55" t="inlineStr">
        <is>
          <t>Verity Appleyard</t>
        </is>
      </c>
      <c r="C55" t="inlineStr">
        <is>
          <t>Velo Fixers</t>
        </is>
      </c>
      <c r="D55" t="inlineStr">
        <is>
          <t>142</t>
        </is>
      </c>
      <c r="E55" s="2">
        <f>HYPERLINK("https://www.britishcycling.org.uk/points?person_id=72717&amp;year=2024&amp;type=national&amp;d=6","Results")</f>
        <v/>
      </c>
    </row>
    <row r="56">
      <c r="A56" t="inlineStr">
        <is>
          <t>55</t>
        </is>
      </c>
      <c r="B56" t="inlineStr">
        <is>
          <t>Victoria Strila</t>
        </is>
      </c>
      <c r="C56" t="inlineStr">
        <is>
          <t>Quick Release Cycling Club</t>
        </is>
      </c>
      <c r="D56" t="inlineStr">
        <is>
          <t>142</t>
        </is>
      </c>
      <c r="E56" s="2">
        <f>HYPERLINK("https://www.britishcycling.org.uk/points?person_id=202214&amp;year=2024&amp;type=national&amp;d=6","Results")</f>
        <v/>
      </c>
    </row>
    <row r="57">
      <c r="A57" t="inlineStr">
        <is>
          <t>56</t>
        </is>
      </c>
      <c r="B57" t="inlineStr">
        <is>
          <t>Heidi Gould</t>
        </is>
      </c>
      <c r="C57" t="inlineStr">
        <is>
          <t>ASSOS UK Racing Team</t>
        </is>
      </c>
      <c r="D57" t="inlineStr">
        <is>
          <t>138</t>
        </is>
      </c>
      <c r="E57" s="2">
        <f>HYPERLINK("https://www.britishcycling.org.uk/points?person_id=181932&amp;year=2024&amp;type=national&amp;d=6","Results")</f>
        <v/>
      </c>
    </row>
    <row r="58">
      <c r="A58" t="inlineStr">
        <is>
          <t>57</t>
        </is>
      </c>
      <c r="B58" t="inlineStr">
        <is>
          <t>Esther Wong</t>
        </is>
      </c>
      <c r="C58" t="inlineStr">
        <is>
          <t>Shibden Cycling Club</t>
        </is>
      </c>
      <c r="D58" t="inlineStr">
        <is>
          <t>136</t>
        </is>
      </c>
      <c r="E58" s="2">
        <f>HYPERLINK("https://www.britishcycling.org.uk/points?person_id=190563&amp;year=2024&amp;type=national&amp;d=6","Results")</f>
        <v/>
      </c>
    </row>
    <row r="59">
      <c r="A59" t="inlineStr">
        <is>
          <t>58</t>
        </is>
      </c>
      <c r="B59" t="inlineStr">
        <is>
          <t>Elvita Girgzdyte</t>
        </is>
      </c>
      <c r="C59" t="inlineStr">
        <is>
          <t>XRT - Elmy Cycles</t>
        </is>
      </c>
      <c r="D59" t="inlineStr">
        <is>
          <t>134</t>
        </is>
      </c>
      <c r="E59" s="2">
        <f>HYPERLINK("https://www.britishcycling.org.uk/points?person_id=452451&amp;year=2024&amp;type=national&amp;d=6","Results")</f>
        <v/>
      </c>
    </row>
    <row r="60">
      <c r="A60" t="inlineStr">
        <is>
          <t>59</t>
        </is>
      </c>
      <c r="B60" t="inlineStr">
        <is>
          <t>Emma Jane Hornsby</t>
        </is>
      </c>
      <c r="C60" t="inlineStr">
        <is>
          <t>London Academy</t>
        </is>
      </c>
      <c r="D60" t="inlineStr">
        <is>
          <t>134</t>
        </is>
      </c>
      <c r="E60" s="2">
        <f>HYPERLINK("https://www.britishcycling.org.uk/points?person_id=317494&amp;year=2024&amp;type=national&amp;d=6","Results")</f>
        <v/>
      </c>
    </row>
    <row r="61">
      <c r="A61" t="inlineStr">
        <is>
          <t>60</t>
        </is>
      </c>
      <c r="B61" t="inlineStr">
        <is>
          <t>Harriet Evans</t>
        </is>
      </c>
      <c r="C61" t="inlineStr">
        <is>
          <t>FTP-Fulfil The Potential-Racing</t>
        </is>
      </c>
      <c r="D61" t="inlineStr">
        <is>
          <t>133</t>
        </is>
      </c>
      <c r="E61" s="2">
        <f>HYPERLINK("https://www.britishcycling.org.uk/points?person_id=538258&amp;year=2024&amp;type=national&amp;d=6","Results")</f>
        <v/>
      </c>
    </row>
    <row r="62">
      <c r="A62" t="inlineStr">
        <is>
          <t>61</t>
        </is>
      </c>
      <c r="B62" t="inlineStr">
        <is>
          <t>Elisa McDonagh</t>
        </is>
      </c>
      <c r="C62" t="inlineStr">
        <is>
          <t>CXR</t>
        </is>
      </c>
      <c r="D62" t="inlineStr">
        <is>
          <t>133</t>
        </is>
      </c>
      <c r="E62" s="2">
        <f>HYPERLINK("https://www.britishcycling.org.uk/points?person_id=120341&amp;year=2024&amp;type=national&amp;d=6","Results")</f>
        <v/>
      </c>
    </row>
    <row r="63">
      <c r="A63" t="inlineStr">
        <is>
          <t>62</t>
        </is>
      </c>
      <c r="B63" t="inlineStr">
        <is>
          <t>Mia Rutterford</t>
        </is>
      </c>
      <c r="C63" t="inlineStr">
        <is>
          <t>Montezuma's Eventrex Race Team</t>
        </is>
      </c>
      <c r="D63" t="inlineStr">
        <is>
          <t>132</t>
        </is>
      </c>
      <c r="E63" s="2">
        <f>HYPERLINK("https://www.britishcycling.org.uk/points?person_id=351824&amp;year=2024&amp;type=national&amp;d=6","Results")</f>
        <v/>
      </c>
    </row>
    <row r="64">
      <c r="A64" t="inlineStr">
        <is>
          <t>63</t>
        </is>
      </c>
      <c r="B64" t="inlineStr">
        <is>
          <t>Catherine Glowinski</t>
        </is>
      </c>
      <c r="C64" t="inlineStr">
        <is>
          <t>VC Londres</t>
        </is>
      </c>
      <c r="D64" t="inlineStr">
        <is>
          <t>131</t>
        </is>
      </c>
      <c r="E64" s="2">
        <f>HYPERLINK("https://www.britishcycling.org.uk/points?person_id=314983&amp;year=2024&amp;type=national&amp;d=6","Results")</f>
        <v/>
      </c>
    </row>
    <row r="65">
      <c r="A65" t="inlineStr">
        <is>
          <t>64</t>
        </is>
      </c>
      <c r="B65" t="inlineStr">
        <is>
          <t>Gemma Wilks</t>
        </is>
      </c>
      <c r="C65" t="inlineStr">
        <is>
          <t>Sotonia CC</t>
        </is>
      </c>
      <c r="D65" t="inlineStr">
        <is>
          <t>131</t>
        </is>
      </c>
      <c r="E65" s="2">
        <f>HYPERLINK("https://www.britishcycling.org.uk/points?person_id=469045&amp;year=2024&amp;type=national&amp;d=6","Results")</f>
        <v/>
      </c>
    </row>
    <row r="66">
      <c r="A66" t="inlineStr">
        <is>
          <t>65</t>
        </is>
      </c>
      <c r="B66" t="inlineStr">
        <is>
          <t>Layla Bradbrook</t>
        </is>
      </c>
      <c r="C66" t="inlineStr">
        <is>
          <t>Team Enable MI Racing</t>
        </is>
      </c>
      <c r="D66" t="inlineStr">
        <is>
          <t>130</t>
        </is>
      </c>
      <c r="E66" s="2">
        <f>HYPERLINK("https://www.britishcycling.org.uk/points?person_id=447918&amp;year=2024&amp;type=national&amp;d=6","Results")</f>
        <v/>
      </c>
    </row>
    <row r="67">
      <c r="A67" t="inlineStr">
        <is>
          <t>66</t>
        </is>
      </c>
      <c r="B67" t="inlineStr">
        <is>
          <t>Lisa Martin</t>
        </is>
      </c>
      <c r="C67" t="inlineStr">
        <is>
          <t>Bridgwater Cycling Club</t>
        </is>
      </c>
      <c r="D67" t="inlineStr">
        <is>
          <t>128</t>
        </is>
      </c>
      <c r="E67" s="2">
        <f>HYPERLINK("https://www.britishcycling.org.uk/points?person_id=6784&amp;year=2024&amp;type=national&amp;d=6","Results")</f>
        <v/>
      </c>
    </row>
    <row r="68">
      <c r="A68" t="inlineStr">
        <is>
          <t>67</t>
        </is>
      </c>
      <c r="B68" t="inlineStr">
        <is>
          <t>Jessica Wood</t>
        </is>
      </c>
      <c r="C68" t="inlineStr">
        <is>
          <t>Army Cycling Union</t>
        </is>
      </c>
      <c r="D68" t="inlineStr">
        <is>
          <t>128</t>
        </is>
      </c>
      <c r="E68" s="2">
        <f>HYPERLINK("https://www.britishcycling.org.uk/points?person_id=801003&amp;year=2024&amp;type=national&amp;d=6","Results")</f>
        <v/>
      </c>
    </row>
    <row r="69">
      <c r="A69" t="inlineStr">
        <is>
          <t>68</t>
        </is>
      </c>
      <c r="B69" t="inlineStr">
        <is>
          <t>Rebecca Woodvine</t>
        </is>
      </c>
      <c r="C69" t="inlineStr">
        <is>
          <t>RR23 - runandride.co.uk</t>
        </is>
      </c>
      <c r="D69" t="inlineStr">
        <is>
          <t>128</t>
        </is>
      </c>
      <c r="E69" s="2">
        <f>HYPERLINK("https://www.britishcycling.org.uk/points?person_id=308215&amp;year=2024&amp;type=national&amp;d=6","Results")</f>
        <v/>
      </c>
    </row>
    <row r="70">
      <c r="A70" t="inlineStr">
        <is>
          <t>69</t>
        </is>
      </c>
      <c r="B70" t="inlineStr">
        <is>
          <t>Adeline Moreau</t>
        </is>
      </c>
      <c r="C70" t="inlineStr">
        <is>
          <t>Magspeed Racing</t>
        </is>
      </c>
      <c r="D70" t="inlineStr">
        <is>
          <t>127</t>
        </is>
      </c>
      <c r="E70" s="2">
        <f>HYPERLINK("https://www.britishcycling.org.uk/points?person_id=324229&amp;year=2024&amp;type=national&amp;d=6","Results")</f>
        <v/>
      </c>
    </row>
    <row r="71">
      <c r="A71" t="inlineStr">
        <is>
          <t>70</t>
        </is>
      </c>
      <c r="B71" t="inlineStr">
        <is>
          <t>Phoebe Skinner</t>
        </is>
      </c>
      <c r="C71" t="inlineStr">
        <is>
          <t>Reifen Racing</t>
        </is>
      </c>
      <c r="D71" t="inlineStr">
        <is>
          <t>127</t>
        </is>
      </c>
      <c r="E71" s="2">
        <f>HYPERLINK("https://www.britishcycling.org.uk/points?person_id=736104&amp;year=2024&amp;type=national&amp;d=6","Results")</f>
        <v/>
      </c>
    </row>
    <row r="72">
      <c r="A72" t="inlineStr">
        <is>
          <t>71</t>
        </is>
      </c>
      <c r="B72" t="inlineStr">
        <is>
          <t>Ruby Beardsall</t>
        </is>
      </c>
      <c r="C72" t="inlineStr"/>
      <c r="D72" t="inlineStr">
        <is>
          <t>126</t>
        </is>
      </c>
      <c r="E72" s="2">
        <f>HYPERLINK("https://www.britishcycling.org.uk/points?person_id=1076040&amp;year=2024&amp;type=national&amp;d=6","Results")</f>
        <v/>
      </c>
    </row>
    <row r="73">
      <c r="A73" t="inlineStr">
        <is>
          <t>72</t>
        </is>
      </c>
      <c r="B73" t="inlineStr">
        <is>
          <t>Melissa Denman</t>
        </is>
      </c>
      <c r="C73" t="inlineStr">
        <is>
          <t>Stolen Goat Race Team</t>
        </is>
      </c>
      <c r="D73" t="inlineStr">
        <is>
          <t>126</t>
        </is>
      </c>
      <c r="E73" s="2">
        <f>HYPERLINK("https://www.britishcycling.org.uk/points?person_id=562393&amp;year=2024&amp;type=national&amp;d=6","Results")</f>
        <v/>
      </c>
    </row>
    <row r="74">
      <c r="A74" t="inlineStr">
        <is>
          <t>73</t>
        </is>
      </c>
      <c r="B74" t="inlineStr">
        <is>
          <t>Amy Kolbert</t>
        </is>
      </c>
      <c r="C74" t="inlineStr">
        <is>
          <t>Team Pau</t>
        </is>
      </c>
      <c r="D74" t="inlineStr">
        <is>
          <t>126</t>
        </is>
      </c>
      <c r="E74" s="2">
        <f>HYPERLINK("https://www.britishcycling.org.uk/points?person_id=521460&amp;year=2024&amp;type=national&amp;d=6","Results")</f>
        <v/>
      </c>
    </row>
    <row r="75">
      <c r="A75" t="inlineStr">
        <is>
          <t>74</t>
        </is>
      </c>
      <c r="B75" t="inlineStr">
        <is>
          <t>Denise Burrows</t>
        </is>
      </c>
      <c r="C75" t="inlineStr">
        <is>
          <t>AeroCoach</t>
        </is>
      </c>
      <c r="D75" t="inlineStr">
        <is>
          <t>125</t>
        </is>
      </c>
      <c r="E75" s="2">
        <f>HYPERLINK("https://www.britishcycling.org.uk/points?person_id=399906&amp;year=2024&amp;type=national&amp;d=6","Results")</f>
        <v/>
      </c>
    </row>
    <row r="76">
      <c r="A76" t="inlineStr">
        <is>
          <t>75</t>
        </is>
      </c>
      <c r="B76" t="inlineStr">
        <is>
          <t>Katie Hadnum</t>
        </is>
      </c>
      <c r="C76" t="inlineStr">
        <is>
          <t>Reifen Racing</t>
        </is>
      </c>
      <c r="D76" t="inlineStr">
        <is>
          <t>125</t>
        </is>
      </c>
      <c r="E76" s="2">
        <f>HYPERLINK("https://www.britishcycling.org.uk/points?person_id=325697&amp;year=2024&amp;type=national&amp;d=6","Results")</f>
        <v/>
      </c>
    </row>
    <row r="77">
      <c r="A77" t="inlineStr">
        <is>
          <t>76</t>
        </is>
      </c>
      <c r="B77" t="inlineStr">
        <is>
          <t>Amy Cantelo</t>
        </is>
      </c>
      <c r="C77" t="inlineStr">
        <is>
          <t>Nova Race Team</t>
        </is>
      </c>
      <c r="D77" t="inlineStr">
        <is>
          <t>118</t>
        </is>
      </c>
      <c r="E77" s="2">
        <f>HYPERLINK("https://www.britishcycling.org.uk/points?person_id=220505&amp;year=2024&amp;type=national&amp;d=6","Results")</f>
        <v/>
      </c>
    </row>
    <row r="78">
      <c r="A78" t="inlineStr">
        <is>
          <t>77</t>
        </is>
      </c>
      <c r="B78" t="inlineStr">
        <is>
          <t>Charlotte Davies</t>
        </is>
      </c>
      <c r="C78" t="inlineStr">
        <is>
          <t>WestSide Coaching, 73 Degrees</t>
        </is>
      </c>
      <c r="D78" t="inlineStr">
        <is>
          <t>114</t>
        </is>
      </c>
      <c r="E78" s="2">
        <f>HYPERLINK("https://www.britishcycling.org.uk/points?person_id=987565&amp;year=2024&amp;type=national&amp;d=6","Results")</f>
        <v/>
      </c>
    </row>
    <row r="79">
      <c r="A79" t="inlineStr">
        <is>
          <t>78</t>
        </is>
      </c>
      <c r="B79" t="inlineStr">
        <is>
          <t>Naomi Metcalfe</t>
        </is>
      </c>
      <c r="C79" t="inlineStr">
        <is>
          <t>Army Cycling Union</t>
        </is>
      </c>
      <c r="D79" t="inlineStr">
        <is>
          <t>114</t>
        </is>
      </c>
      <c r="E79" s="2">
        <f>HYPERLINK("https://www.britishcycling.org.uk/points?person_id=924645&amp;year=2024&amp;type=national&amp;d=6","Results")</f>
        <v/>
      </c>
    </row>
    <row r="80">
      <c r="A80" t="inlineStr">
        <is>
          <t>79</t>
        </is>
      </c>
      <c r="B80" t="inlineStr">
        <is>
          <t>Laura Rogers</t>
        </is>
      </c>
      <c r="C80" t="inlineStr">
        <is>
          <t>Team V-Sprint Racing</t>
        </is>
      </c>
      <c r="D80" t="inlineStr">
        <is>
          <t>114</t>
        </is>
      </c>
      <c r="E80" s="2">
        <f>HYPERLINK("https://www.britishcycling.org.uk/points?person_id=991275&amp;year=2024&amp;type=national&amp;d=6","Results")</f>
        <v/>
      </c>
    </row>
    <row r="81">
      <c r="A81" t="inlineStr">
        <is>
          <t>80</t>
        </is>
      </c>
      <c r="B81" t="inlineStr">
        <is>
          <t>Sally Reid</t>
        </is>
      </c>
      <c r="C81" t="inlineStr">
        <is>
          <t>Pedal Power Loughborough</t>
        </is>
      </c>
      <c r="D81" t="inlineStr">
        <is>
          <t>113</t>
        </is>
      </c>
      <c r="E81" s="2">
        <f>HYPERLINK("https://www.britishcycling.org.uk/points?person_id=333365&amp;year=2024&amp;type=national&amp;d=6","Results")</f>
        <v/>
      </c>
    </row>
    <row r="82">
      <c r="A82" t="inlineStr">
        <is>
          <t>81</t>
        </is>
      </c>
      <c r="B82" t="inlineStr">
        <is>
          <t>Ceri Shephard</t>
        </is>
      </c>
      <c r="C82" t="inlineStr">
        <is>
          <t>Stratford CC</t>
        </is>
      </c>
      <c r="D82" t="inlineStr">
        <is>
          <t>113</t>
        </is>
      </c>
      <c r="E82" s="2">
        <f>HYPERLINK("https://www.britishcycling.org.uk/points?person_id=1084184&amp;year=2024&amp;type=national&amp;d=6","Results")</f>
        <v/>
      </c>
    </row>
    <row r="83">
      <c r="A83" t="inlineStr">
        <is>
          <t>82</t>
        </is>
      </c>
      <c r="B83" t="inlineStr">
        <is>
          <t>Anastasia Bowler</t>
        </is>
      </c>
      <c r="C83" t="inlineStr">
        <is>
          <t>FTP-Fulfil The Potential-Racing</t>
        </is>
      </c>
      <c r="D83" t="inlineStr">
        <is>
          <t>112</t>
        </is>
      </c>
      <c r="E83" s="2">
        <f>HYPERLINK("https://www.britishcycling.org.uk/points?person_id=888694&amp;year=2024&amp;type=national&amp;d=6","Results")</f>
        <v/>
      </c>
    </row>
    <row r="84">
      <c r="A84" t="inlineStr">
        <is>
          <t>83</t>
        </is>
      </c>
      <c r="B84" t="inlineStr">
        <is>
          <t>Ailsa McLagan</t>
        </is>
      </c>
      <c r="C84" t="inlineStr">
        <is>
          <t>London Academy</t>
        </is>
      </c>
      <c r="D84" t="inlineStr">
        <is>
          <t>112</t>
        </is>
      </c>
      <c r="E84" s="2">
        <f>HYPERLINK("https://www.britishcycling.org.uk/points?person_id=1011214&amp;year=2024&amp;type=national&amp;d=6","Results")</f>
        <v/>
      </c>
    </row>
    <row r="85">
      <c r="A85" t="inlineStr">
        <is>
          <t>84</t>
        </is>
      </c>
      <c r="B85" t="inlineStr">
        <is>
          <t>Suzanne Warren</t>
        </is>
      </c>
      <c r="C85" t="inlineStr">
        <is>
          <t>Cardiff Ajax CC</t>
        </is>
      </c>
      <c r="D85" t="inlineStr">
        <is>
          <t>112</t>
        </is>
      </c>
      <c r="E85" s="2">
        <f>HYPERLINK("https://www.britishcycling.org.uk/points?person_id=105889&amp;year=2024&amp;type=national&amp;d=6","Results")</f>
        <v/>
      </c>
    </row>
    <row r="86">
      <c r="A86" t="inlineStr">
        <is>
          <t>85</t>
        </is>
      </c>
      <c r="B86" t="inlineStr">
        <is>
          <t>Lucy Dalgleish</t>
        </is>
      </c>
      <c r="C86" t="inlineStr">
        <is>
          <t>Cookson Cycles</t>
        </is>
      </c>
      <c r="D86" t="inlineStr">
        <is>
          <t>110</t>
        </is>
      </c>
      <c r="E86" s="2">
        <f>HYPERLINK("https://www.britishcycling.org.uk/points?person_id=253518&amp;year=2024&amp;type=national&amp;d=6","Results")</f>
        <v/>
      </c>
    </row>
    <row r="87">
      <c r="A87" t="inlineStr">
        <is>
          <t>86</t>
        </is>
      </c>
      <c r="B87" t="inlineStr">
        <is>
          <t>Helen Kirk</t>
        </is>
      </c>
      <c r="C87" t="inlineStr">
        <is>
          <t>Matlock CC</t>
        </is>
      </c>
      <c r="D87" t="inlineStr">
        <is>
          <t>110</t>
        </is>
      </c>
      <c r="E87" s="2">
        <f>HYPERLINK("https://www.britishcycling.org.uk/points?person_id=1125571&amp;year=2024&amp;type=national&amp;d=6","Results")</f>
        <v/>
      </c>
    </row>
    <row r="88">
      <c r="A88" t="inlineStr">
        <is>
          <t>87</t>
        </is>
      </c>
      <c r="B88" t="inlineStr">
        <is>
          <t>Deborah Smith</t>
        </is>
      </c>
      <c r="C88" t="inlineStr">
        <is>
          <t>Nova Race Team</t>
        </is>
      </c>
      <c r="D88" t="inlineStr">
        <is>
          <t>110</t>
        </is>
      </c>
      <c r="E88" s="2">
        <f>HYPERLINK("https://www.britishcycling.org.uk/points?person_id=643247&amp;year=2024&amp;type=national&amp;d=6","Results")</f>
        <v/>
      </c>
    </row>
    <row r="89">
      <c r="A89" t="inlineStr">
        <is>
          <t>88</t>
        </is>
      </c>
      <c r="B89" t="inlineStr">
        <is>
          <t>Lotta Mansfield</t>
        </is>
      </c>
      <c r="C89" t="inlineStr">
        <is>
          <t>Grity Race Team</t>
        </is>
      </c>
      <c r="D89" t="inlineStr">
        <is>
          <t>108</t>
        </is>
      </c>
      <c r="E89" s="2">
        <f>HYPERLINK("https://www.britishcycling.org.uk/points?person_id=185355&amp;year=2024&amp;type=national&amp;d=6","Results")</f>
        <v/>
      </c>
    </row>
    <row r="90">
      <c r="A90" t="inlineStr">
        <is>
          <t>89</t>
        </is>
      </c>
      <c r="B90" t="inlineStr">
        <is>
          <t>Nicola Kent</t>
        </is>
      </c>
      <c r="C90" t="inlineStr">
        <is>
          <t>Whitby Wheelers CC</t>
        </is>
      </c>
      <c r="D90" t="inlineStr">
        <is>
          <t>106</t>
        </is>
      </c>
      <c r="E90" s="2">
        <f>HYPERLINK("https://www.britishcycling.org.uk/points?person_id=487749&amp;year=2024&amp;type=national&amp;d=6","Results")</f>
        <v/>
      </c>
    </row>
    <row r="91">
      <c r="A91" t="inlineStr">
        <is>
          <t>90</t>
        </is>
      </c>
      <c r="B91" t="inlineStr">
        <is>
          <t>Laura Sheppard</t>
        </is>
      </c>
      <c r="C91" t="inlineStr">
        <is>
          <t>Royal Air Force CA</t>
        </is>
      </c>
      <c r="D91" t="inlineStr">
        <is>
          <t>106</t>
        </is>
      </c>
      <c r="E91" s="2">
        <f>HYPERLINK("https://www.britishcycling.org.uk/points?person_id=1015226&amp;year=2024&amp;type=national&amp;d=6","Results")</f>
        <v/>
      </c>
    </row>
    <row r="92">
      <c r="A92" t="inlineStr">
        <is>
          <t>91</t>
        </is>
      </c>
      <c r="B92" t="inlineStr">
        <is>
          <t>Claire Sharp</t>
        </is>
      </c>
      <c r="C92" t="inlineStr">
        <is>
          <t>Verulam CC</t>
        </is>
      </c>
      <c r="D92" t="inlineStr">
        <is>
          <t>105</t>
        </is>
      </c>
      <c r="E92" s="2">
        <f>HYPERLINK("https://www.britishcycling.org.uk/points?person_id=304742&amp;year=2024&amp;type=national&amp;d=6","Results")</f>
        <v/>
      </c>
    </row>
    <row r="93">
      <c r="A93" t="inlineStr">
        <is>
          <t>92</t>
        </is>
      </c>
      <c r="B93" t="inlineStr">
        <is>
          <t>Jamie Leigh Lloyd</t>
        </is>
      </c>
      <c r="C93" t="inlineStr">
        <is>
          <t>Liverpool Braveheart Bicycle Club</t>
        </is>
      </c>
      <c r="D93" t="inlineStr">
        <is>
          <t>104</t>
        </is>
      </c>
      <c r="E93" s="2">
        <f>HYPERLINK("https://www.britishcycling.org.uk/points?person_id=817227&amp;year=2024&amp;type=national&amp;d=6","Results")</f>
        <v/>
      </c>
    </row>
    <row r="94">
      <c r="A94" t="inlineStr">
        <is>
          <t>93</t>
        </is>
      </c>
      <c r="B94" t="inlineStr">
        <is>
          <t>Libby Greatorex</t>
        </is>
      </c>
      <c r="C94" t="inlineStr">
        <is>
          <t>www.cyclocrossrider.com</t>
        </is>
      </c>
      <c r="D94" t="inlineStr">
        <is>
          <t>102</t>
        </is>
      </c>
      <c r="E94" s="2">
        <f>HYPERLINK("https://www.britishcycling.org.uk/points?person_id=102377&amp;year=2024&amp;type=national&amp;d=6","Results")</f>
        <v/>
      </c>
    </row>
    <row r="95">
      <c r="A95" t="inlineStr">
        <is>
          <t>94</t>
        </is>
      </c>
      <c r="B95" t="inlineStr">
        <is>
          <t>Holly Bradbrook</t>
        </is>
      </c>
      <c r="C95" t="inlineStr">
        <is>
          <t>Team Enable MI Racing</t>
        </is>
      </c>
      <c r="D95" t="inlineStr">
        <is>
          <t>100</t>
        </is>
      </c>
      <c r="E95" s="2">
        <f>HYPERLINK("https://www.britishcycling.org.uk/points?person_id=447920&amp;year=2024&amp;type=national&amp;d=6","Results")</f>
        <v/>
      </c>
    </row>
    <row r="96">
      <c r="A96" t="inlineStr">
        <is>
          <t>95</t>
        </is>
      </c>
      <c r="B96" t="inlineStr">
        <is>
          <t>Jessica Cobbe</t>
        </is>
      </c>
      <c r="C96" t="inlineStr">
        <is>
          <t>ROTOR Race Team</t>
        </is>
      </c>
      <c r="D96" t="inlineStr">
        <is>
          <t>100</t>
        </is>
      </c>
      <c r="E96" s="2">
        <f>HYPERLINK("https://www.britishcycling.org.uk/points?person_id=292779&amp;year=2024&amp;type=national&amp;d=6","Results")</f>
        <v/>
      </c>
    </row>
    <row r="97">
      <c r="A97" t="inlineStr">
        <is>
          <t>96</t>
        </is>
      </c>
      <c r="B97" t="inlineStr">
        <is>
          <t>Alison Hogg</t>
        </is>
      </c>
      <c r="C97" t="inlineStr"/>
      <c r="D97" t="inlineStr">
        <is>
          <t>100</t>
        </is>
      </c>
      <c r="E97" s="2">
        <f>HYPERLINK("https://www.britishcycling.org.uk/points?person_id=262528&amp;year=2024&amp;type=national&amp;d=6","Results")</f>
        <v/>
      </c>
    </row>
    <row r="98">
      <c r="A98" t="inlineStr">
        <is>
          <t>97</t>
        </is>
      </c>
      <c r="B98" t="inlineStr">
        <is>
          <t>Zoe Codd</t>
        </is>
      </c>
      <c r="C98" t="inlineStr">
        <is>
          <t>Grity Race Team</t>
        </is>
      </c>
      <c r="D98" t="inlineStr">
        <is>
          <t>98</t>
        </is>
      </c>
      <c r="E98" s="2">
        <f>HYPERLINK("https://www.britishcycling.org.uk/points?person_id=416032&amp;year=2024&amp;type=national&amp;d=6","Results")</f>
        <v/>
      </c>
    </row>
    <row r="99">
      <c r="A99" t="inlineStr">
        <is>
          <t>98</t>
        </is>
      </c>
      <c r="B99" t="inlineStr">
        <is>
          <t>Melissa Cooper</t>
        </is>
      </c>
      <c r="C99" t="inlineStr">
        <is>
          <t>IGNITE Race Team</t>
        </is>
      </c>
      <c r="D99" t="inlineStr">
        <is>
          <t>98</t>
        </is>
      </c>
      <c r="E99" s="2">
        <f>HYPERLINK("https://www.britishcycling.org.uk/points?person_id=255794&amp;year=2024&amp;type=national&amp;d=6","Results")</f>
        <v/>
      </c>
    </row>
    <row r="100">
      <c r="A100" t="inlineStr">
        <is>
          <t>99</t>
        </is>
      </c>
      <c r="B100" t="inlineStr">
        <is>
          <t>Helen Hutchinson</t>
        </is>
      </c>
      <c r="C100" t="inlineStr">
        <is>
          <t>Derby Mercury RC</t>
        </is>
      </c>
      <c r="D100" t="inlineStr">
        <is>
          <t>96</t>
        </is>
      </c>
      <c r="E100" s="2">
        <f>HYPERLINK("https://www.britishcycling.org.uk/points?person_id=425602&amp;year=2024&amp;type=national&amp;d=6","Results")</f>
        <v/>
      </c>
    </row>
    <row r="101">
      <c r="A101" t="inlineStr">
        <is>
          <t>100</t>
        </is>
      </c>
      <c r="B101" t="inlineStr">
        <is>
          <t>Clare Sharp</t>
        </is>
      </c>
      <c r="C101" t="inlineStr">
        <is>
          <t>The Widger Spoke Easies</t>
        </is>
      </c>
      <c r="D101" t="inlineStr">
        <is>
          <t>96</t>
        </is>
      </c>
      <c r="E101" s="2">
        <f>HYPERLINK("https://www.britishcycling.org.uk/points?person_id=731400&amp;year=2024&amp;type=national&amp;d=6","Results")</f>
        <v/>
      </c>
    </row>
    <row r="102">
      <c r="A102" t="inlineStr">
        <is>
          <t>101</t>
        </is>
      </c>
      <c r="B102" t="inlineStr">
        <is>
          <t>Rebecca Laurel</t>
        </is>
      </c>
      <c r="C102" t="inlineStr">
        <is>
          <t>Leicester Forest CC</t>
        </is>
      </c>
      <c r="D102" t="inlineStr">
        <is>
          <t>94</t>
        </is>
      </c>
      <c r="E102" s="2">
        <f>HYPERLINK("https://www.britishcycling.org.uk/points?person_id=293325&amp;year=2024&amp;type=national&amp;d=6","Results")</f>
        <v/>
      </c>
    </row>
    <row r="103">
      <c r="A103" t="inlineStr">
        <is>
          <t>102</t>
        </is>
      </c>
      <c r="B103" t="inlineStr">
        <is>
          <t>Anna Streule</t>
        </is>
      </c>
      <c r="C103" t="inlineStr">
        <is>
          <t>London Dynamo</t>
        </is>
      </c>
      <c r="D103" t="inlineStr">
        <is>
          <t>94</t>
        </is>
      </c>
      <c r="E103" s="2">
        <f>HYPERLINK("https://www.britishcycling.org.uk/points?person_id=1130625&amp;year=2024&amp;type=national&amp;d=6","Results")</f>
        <v/>
      </c>
    </row>
    <row r="104">
      <c r="A104" t="inlineStr">
        <is>
          <t>103</t>
        </is>
      </c>
      <c r="B104" t="inlineStr">
        <is>
          <t>Nicole Read</t>
        </is>
      </c>
      <c r="C104" t="inlineStr"/>
      <c r="D104" t="inlineStr">
        <is>
          <t>92</t>
        </is>
      </c>
      <c r="E104" s="2">
        <f>HYPERLINK("https://www.britishcycling.org.uk/points?person_id=902417&amp;year=2024&amp;type=national&amp;d=6","Results")</f>
        <v/>
      </c>
    </row>
    <row r="105">
      <c r="A105" t="inlineStr">
        <is>
          <t>104</t>
        </is>
      </c>
      <c r="B105" t="inlineStr">
        <is>
          <t>Hannah Bayes</t>
        </is>
      </c>
      <c r="C105" t="inlineStr"/>
      <c r="D105" t="inlineStr">
        <is>
          <t>90</t>
        </is>
      </c>
      <c r="E105" s="2">
        <f>HYPERLINK("https://www.britishcycling.org.uk/points?person_id=497572&amp;year=2024&amp;type=national&amp;d=6","Results")</f>
        <v/>
      </c>
    </row>
    <row r="106">
      <c r="A106" t="inlineStr">
        <is>
          <t>105</t>
        </is>
      </c>
      <c r="B106" t="inlineStr">
        <is>
          <t>Frances Lammyman</t>
        </is>
      </c>
      <c r="C106" t="inlineStr">
        <is>
          <t>Ride Revolution Coaching</t>
        </is>
      </c>
      <c r="D106" t="inlineStr">
        <is>
          <t>90</t>
        </is>
      </c>
      <c r="E106" s="2">
        <f>HYPERLINK("https://www.britishcycling.org.uk/points?person_id=645013&amp;year=2024&amp;type=national&amp;d=6","Results")</f>
        <v/>
      </c>
    </row>
    <row r="107">
      <c r="A107" t="inlineStr">
        <is>
          <t>106</t>
        </is>
      </c>
      <c r="B107" t="inlineStr">
        <is>
          <t>Vikki Sivertsen</t>
        </is>
      </c>
      <c r="C107" t="inlineStr">
        <is>
          <t>Malvern Cycle Sport</t>
        </is>
      </c>
      <c r="D107" t="inlineStr">
        <is>
          <t>90</t>
        </is>
      </c>
      <c r="E107" s="2">
        <f>HYPERLINK("https://www.britishcycling.org.uk/points?person_id=1090669&amp;year=2024&amp;type=national&amp;d=6","Results")</f>
        <v/>
      </c>
    </row>
    <row r="108">
      <c r="A108" t="inlineStr">
        <is>
          <t>107</t>
        </is>
      </c>
      <c r="B108" t="inlineStr">
        <is>
          <t>Alexandra Hayden</t>
        </is>
      </c>
      <c r="C108" t="inlineStr">
        <is>
          <t>Vanelli-Project Go</t>
        </is>
      </c>
      <c r="D108" t="inlineStr">
        <is>
          <t>89</t>
        </is>
      </c>
      <c r="E108" s="2">
        <f>HYPERLINK("https://www.britishcycling.org.uk/points?person_id=975139&amp;year=2024&amp;type=national&amp;d=6","Results")</f>
        <v/>
      </c>
    </row>
    <row r="109">
      <c r="A109" t="inlineStr">
        <is>
          <t>108</t>
        </is>
      </c>
      <c r="B109" t="inlineStr">
        <is>
          <t>Amy Renwick</t>
        </is>
      </c>
      <c r="C109" t="inlineStr">
        <is>
          <t>Moray Firth Cycling Club</t>
        </is>
      </c>
      <c r="D109" t="inlineStr">
        <is>
          <t>89</t>
        </is>
      </c>
      <c r="E109" s="2">
        <f>HYPERLINK("https://www.britishcycling.org.uk/points?person_id=864173&amp;year=2024&amp;type=national&amp;d=6","Results")</f>
        <v/>
      </c>
    </row>
    <row r="110">
      <c r="A110" t="inlineStr">
        <is>
          <t>109</t>
        </is>
      </c>
      <c r="B110" t="inlineStr">
        <is>
          <t>Liz Taylor</t>
        </is>
      </c>
      <c r="C110" t="inlineStr">
        <is>
          <t>Derby Mercury RC</t>
        </is>
      </c>
      <c r="D110" t="inlineStr">
        <is>
          <t>89</t>
        </is>
      </c>
      <c r="E110" s="2">
        <f>HYPERLINK("https://www.britishcycling.org.uk/points?person_id=735488&amp;year=2024&amp;type=national&amp;d=6","Results")</f>
        <v/>
      </c>
    </row>
    <row r="111">
      <c r="A111" t="inlineStr">
        <is>
          <t>110</t>
        </is>
      </c>
      <c r="B111" t="inlineStr">
        <is>
          <t>Monica Anderson</t>
        </is>
      </c>
      <c r="C111" t="inlineStr">
        <is>
          <t>Livingston Cycling Club</t>
        </is>
      </c>
      <c r="D111" t="inlineStr">
        <is>
          <t>88</t>
        </is>
      </c>
      <c r="E111" s="2">
        <f>HYPERLINK("https://www.britishcycling.org.uk/points?person_id=1032074&amp;year=2024&amp;type=national&amp;d=6","Results")</f>
        <v/>
      </c>
    </row>
    <row r="112">
      <c r="A112" t="inlineStr">
        <is>
          <t>111</t>
        </is>
      </c>
      <c r="B112" t="inlineStr">
        <is>
          <t>Kari Eilertsen</t>
        </is>
      </c>
      <c r="C112" t="inlineStr">
        <is>
          <t>Alltrax Cycling Club</t>
        </is>
      </c>
      <c r="D112" t="inlineStr">
        <is>
          <t>87</t>
        </is>
      </c>
      <c r="E112" s="2">
        <f>HYPERLINK("https://www.britishcycling.org.uk/points?person_id=607682&amp;year=2024&amp;type=national&amp;d=6","Results")</f>
        <v/>
      </c>
    </row>
    <row r="113">
      <c r="A113" t="inlineStr">
        <is>
          <t>112</t>
        </is>
      </c>
      <c r="B113" t="inlineStr">
        <is>
          <t>Eleanor Whalley</t>
        </is>
      </c>
      <c r="C113" t="inlineStr">
        <is>
          <t>Magspeed Racing</t>
        </is>
      </c>
      <c r="D113" t="inlineStr">
        <is>
          <t>86</t>
        </is>
      </c>
      <c r="E113" s="2">
        <f>HYPERLINK("https://www.britishcycling.org.uk/points?person_id=766472&amp;year=2024&amp;type=national&amp;d=6","Results")</f>
        <v/>
      </c>
    </row>
    <row r="114">
      <c r="A114" t="inlineStr">
        <is>
          <t>113</t>
        </is>
      </c>
      <c r="B114" t="inlineStr">
        <is>
          <t>Claire Buttivant</t>
        </is>
      </c>
      <c r="C114" t="inlineStr">
        <is>
          <t>London Dynamo</t>
        </is>
      </c>
      <c r="D114" t="inlineStr">
        <is>
          <t>85</t>
        </is>
      </c>
      <c r="E114" s="2">
        <f>HYPERLINK("https://www.britishcycling.org.uk/points?person_id=1019734&amp;year=2024&amp;type=national&amp;d=6","Results")</f>
        <v/>
      </c>
    </row>
    <row r="115">
      <c r="A115" t="inlineStr">
        <is>
          <t>114</t>
        </is>
      </c>
      <c r="B115" t="inlineStr">
        <is>
          <t>Nicky Hughes</t>
        </is>
      </c>
      <c r="C115" t="inlineStr">
        <is>
          <t>Southborough &amp; District Whls</t>
        </is>
      </c>
      <c r="D115" t="inlineStr">
        <is>
          <t>85</t>
        </is>
      </c>
      <c r="E115" s="2">
        <f>HYPERLINK("https://www.britishcycling.org.uk/points?person_id=37490&amp;year=2024&amp;type=national&amp;d=6","Results")</f>
        <v/>
      </c>
    </row>
    <row r="116">
      <c r="A116" t="inlineStr">
        <is>
          <t>115</t>
        </is>
      </c>
      <c r="B116" t="inlineStr">
        <is>
          <t>Tracy Bremner</t>
        </is>
      </c>
      <c r="C116" t="inlineStr">
        <is>
          <t>Pedalon.co.uk</t>
        </is>
      </c>
      <c r="D116" t="inlineStr">
        <is>
          <t>84</t>
        </is>
      </c>
      <c r="E116" s="2">
        <f>HYPERLINK("https://www.britishcycling.org.uk/points?person_id=336093&amp;year=2024&amp;type=national&amp;d=6","Results")</f>
        <v/>
      </c>
    </row>
    <row r="117">
      <c r="A117" t="inlineStr">
        <is>
          <t>116</t>
        </is>
      </c>
      <c r="B117" t="inlineStr">
        <is>
          <t>Hannah McClorey</t>
        </is>
      </c>
      <c r="C117" t="inlineStr">
        <is>
          <t>Doltcini - Cycle Division</t>
        </is>
      </c>
      <c r="D117" t="inlineStr">
        <is>
          <t>84</t>
        </is>
      </c>
      <c r="E117" s="2">
        <f>HYPERLINK("https://www.britishcycling.org.uk/points?person_id=444152&amp;year=2024&amp;type=national&amp;d=6","Results")</f>
        <v/>
      </c>
    </row>
    <row r="118">
      <c r="A118" t="inlineStr">
        <is>
          <t>117</t>
        </is>
      </c>
      <c r="B118" t="inlineStr">
        <is>
          <t>Maria Cayford</t>
        </is>
      </c>
      <c r="C118" t="inlineStr">
        <is>
          <t>Kettering CC</t>
        </is>
      </c>
      <c r="D118" t="inlineStr">
        <is>
          <t>82</t>
        </is>
      </c>
      <c r="E118" s="2">
        <f>HYPERLINK("https://www.britishcycling.org.uk/points?person_id=409698&amp;year=2024&amp;type=national&amp;d=6","Results")</f>
        <v/>
      </c>
    </row>
    <row r="119">
      <c r="A119" t="inlineStr">
        <is>
          <t>118</t>
        </is>
      </c>
      <c r="B119" t="inlineStr">
        <is>
          <t>Ellie Harrison</t>
        </is>
      </c>
      <c r="C119" t="inlineStr">
        <is>
          <t>Clifton CC</t>
        </is>
      </c>
      <c r="D119" t="inlineStr">
        <is>
          <t>82</t>
        </is>
      </c>
      <c r="E119" s="2">
        <f>HYPERLINK("https://www.britishcycling.org.uk/points?person_id=661953&amp;year=2024&amp;type=national&amp;d=6","Results")</f>
        <v/>
      </c>
    </row>
    <row r="120">
      <c r="A120" t="inlineStr">
        <is>
          <t>119</t>
        </is>
      </c>
      <c r="B120" t="inlineStr">
        <is>
          <t>Lynsey Whitley</t>
        </is>
      </c>
      <c r="C120" t="inlineStr">
        <is>
          <t>Team Enable MI Racing</t>
        </is>
      </c>
      <c r="D120" t="inlineStr">
        <is>
          <t>82</t>
        </is>
      </c>
      <c r="E120" s="2">
        <f>HYPERLINK("https://www.britishcycling.org.uk/points?person_id=411912&amp;year=2024&amp;type=national&amp;d=6","Results")</f>
        <v/>
      </c>
    </row>
    <row r="121">
      <c r="A121" t="inlineStr">
        <is>
          <t>120</t>
        </is>
      </c>
      <c r="B121" t="inlineStr">
        <is>
          <t>Holly Winstone</t>
        </is>
      </c>
      <c r="C121" t="inlineStr"/>
      <c r="D121" t="inlineStr">
        <is>
          <t>82</t>
        </is>
      </c>
      <c r="E121" s="2">
        <f>HYPERLINK("https://www.britishcycling.org.uk/points?person_id=1110223&amp;year=2024&amp;type=national&amp;d=6","Results")</f>
        <v/>
      </c>
    </row>
    <row r="122">
      <c r="A122" t="inlineStr">
        <is>
          <t>121</t>
        </is>
      </c>
      <c r="B122" t="inlineStr">
        <is>
          <t>Abigail Corsie</t>
        </is>
      </c>
      <c r="C122" t="inlineStr">
        <is>
          <t>Walden Velo</t>
        </is>
      </c>
      <c r="D122" t="inlineStr">
        <is>
          <t>81</t>
        </is>
      </c>
      <c r="E122" s="2">
        <f>HYPERLINK("https://www.britishcycling.org.uk/points?person_id=823847&amp;year=2024&amp;type=national&amp;d=6","Results")</f>
        <v/>
      </c>
    </row>
    <row r="123">
      <c r="A123" t="inlineStr">
        <is>
          <t>122</t>
        </is>
      </c>
      <c r="B123" t="inlineStr">
        <is>
          <t>Amelia Cebak</t>
        </is>
      </c>
      <c r="C123" t="inlineStr">
        <is>
          <t>Tofauti Everyone Active</t>
        </is>
      </c>
      <c r="D123" t="inlineStr">
        <is>
          <t>80</t>
        </is>
      </c>
      <c r="E123" s="2">
        <f>HYPERLINK("https://www.britishcycling.org.uk/points?person_id=521404&amp;year=2024&amp;type=national&amp;d=6","Results")</f>
        <v/>
      </c>
    </row>
    <row r="124">
      <c r="A124" t="inlineStr">
        <is>
          <t>123</t>
        </is>
      </c>
      <c r="B124" t="inlineStr">
        <is>
          <t>Jo Malpass</t>
        </is>
      </c>
      <c r="C124" t="inlineStr">
        <is>
          <t>VC Deal</t>
        </is>
      </c>
      <c r="D124" t="inlineStr">
        <is>
          <t>80</t>
        </is>
      </c>
      <c r="E124" s="2">
        <f>HYPERLINK("https://www.britishcycling.org.uk/points?person_id=277779&amp;year=2024&amp;type=national&amp;d=6","Results")</f>
        <v/>
      </c>
    </row>
    <row r="125">
      <c r="A125" t="inlineStr">
        <is>
          <t>124</t>
        </is>
      </c>
      <c r="B125" t="inlineStr">
        <is>
          <t>Georgina Wise</t>
        </is>
      </c>
      <c r="C125" t="inlineStr">
        <is>
          <t>Destination Bike RT</t>
        </is>
      </c>
      <c r="D125" t="inlineStr">
        <is>
          <t>79</t>
        </is>
      </c>
      <c r="E125" s="2">
        <f>HYPERLINK("https://www.britishcycling.org.uk/points?person_id=943659&amp;year=2024&amp;type=national&amp;d=6","Results")</f>
        <v/>
      </c>
    </row>
    <row r="126">
      <c r="A126" t="inlineStr">
        <is>
          <t>125</t>
        </is>
      </c>
      <c r="B126" t="inlineStr">
        <is>
          <t>Sian Botteley</t>
        </is>
      </c>
      <c r="C126" t="inlineStr"/>
      <c r="D126" t="inlineStr">
        <is>
          <t>78</t>
        </is>
      </c>
      <c r="E126" s="2">
        <f>HYPERLINK("https://www.britishcycling.org.uk/points?person_id=123730&amp;year=2024&amp;type=national&amp;d=6","Results")</f>
        <v/>
      </c>
    </row>
    <row r="127">
      <c r="A127" t="inlineStr">
        <is>
          <t>126</t>
        </is>
      </c>
      <c r="B127" t="inlineStr">
        <is>
          <t>Natasha Caleia-Ramos</t>
        </is>
      </c>
      <c r="C127" t="inlineStr">
        <is>
          <t>ASSOS UK Racing Team</t>
        </is>
      </c>
      <c r="D127" t="inlineStr">
        <is>
          <t>78</t>
        </is>
      </c>
      <c r="E127" s="2">
        <f>HYPERLINK("https://www.britishcycling.org.uk/points?person_id=397512&amp;year=2024&amp;type=national&amp;d=6","Results")</f>
        <v/>
      </c>
    </row>
    <row r="128">
      <c r="A128" t="inlineStr">
        <is>
          <t>127</t>
        </is>
      </c>
      <c r="B128" t="inlineStr">
        <is>
          <t>Nicola Davies</t>
        </is>
      </c>
      <c r="C128" t="inlineStr">
        <is>
          <t>CXR</t>
        </is>
      </c>
      <c r="D128" t="inlineStr">
        <is>
          <t>76</t>
        </is>
      </c>
      <c r="E128" s="2">
        <f>HYPERLINK("https://www.britishcycling.org.uk/points?person_id=23143&amp;year=2024&amp;type=national&amp;d=6","Results")</f>
        <v/>
      </c>
    </row>
    <row r="129">
      <c r="A129" t="inlineStr">
        <is>
          <t>128</t>
        </is>
      </c>
      <c r="B129" t="inlineStr">
        <is>
          <t>Helen Jackson</t>
        </is>
      </c>
      <c r="C129" t="inlineStr">
        <is>
          <t>Kendal Cycle Club</t>
        </is>
      </c>
      <c r="D129" t="inlineStr">
        <is>
          <t>76</t>
        </is>
      </c>
      <c r="E129" s="2">
        <f>HYPERLINK("https://www.britishcycling.org.uk/points?person_id=74479&amp;year=2024&amp;type=national&amp;d=6","Results")</f>
        <v/>
      </c>
    </row>
    <row r="130">
      <c r="A130" t="inlineStr">
        <is>
          <t>129</t>
        </is>
      </c>
      <c r="B130" t="inlineStr">
        <is>
          <t>Gemma Mann</t>
        </is>
      </c>
      <c r="C130" t="inlineStr">
        <is>
          <t>Harrogate Nova CC</t>
        </is>
      </c>
      <c r="D130" t="inlineStr">
        <is>
          <t>76</t>
        </is>
      </c>
      <c r="E130" s="2">
        <f>HYPERLINK("https://www.britishcycling.org.uk/points?person_id=809929&amp;year=2024&amp;type=national&amp;d=6","Results")</f>
        <v/>
      </c>
    </row>
    <row r="131">
      <c r="A131" t="inlineStr">
        <is>
          <t>130</t>
        </is>
      </c>
      <c r="B131" t="inlineStr">
        <is>
          <t>Stevie Potter</t>
        </is>
      </c>
      <c r="C131" t="inlineStr"/>
      <c r="D131" t="inlineStr">
        <is>
          <t>75</t>
        </is>
      </c>
      <c r="E131" s="2">
        <f>HYPERLINK("https://www.britishcycling.org.uk/points?person_id=1035948&amp;year=2024&amp;type=national&amp;d=6","Results")</f>
        <v/>
      </c>
    </row>
    <row r="132">
      <c r="A132" t="inlineStr">
        <is>
          <t>131</t>
        </is>
      </c>
      <c r="B132" t="inlineStr">
        <is>
          <t>Clare Hoskins</t>
        </is>
      </c>
      <c r="C132" t="inlineStr">
        <is>
          <t>Cardiff JIF</t>
        </is>
      </c>
      <c r="D132" t="inlineStr">
        <is>
          <t>74</t>
        </is>
      </c>
      <c r="E132" s="2">
        <f>HYPERLINK("https://www.britishcycling.org.uk/points?person_id=64594&amp;year=2024&amp;type=national&amp;d=6","Results")</f>
        <v/>
      </c>
    </row>
    <row r="133">
      <c r="A133" t="inlineStr">
        <is>
          <t>132</t>
        </is>
      </c>
      <c r="B133" t="inlineStr">
        <is>
          <t>Karen Heppenstall</t>
        </is>
      </c>
      <c r="C133" t="inlineStr">
        <is>
          <t>Grity Race Team</t>
        </is>
      </c>
      <c r="D133" t="inlineStr">
        <is>
          <t>73</t>
        </is>
      </c>
      <c r="E133" s="2">
        <f>HYPERLINK("https://www.britishcycling.org.uk/points?person_id=116361&amp;year=2024&amp;type=national&amp;d=6","Results")</f>
        <v/>
      </c>
    </row>
    <row r="134">
      <c r="A134" t="inlineStr">
        <is>
          <t>133</t>
        </is>
      </c>
      <c r="B134" t="inlineStr">
        <is>
          <t>Kirstie Drakeford</t>
        </is>
      </c>
      <c r="C134" t="inlineStr">
        <is>
          <t>Jadan Vive le Velo Glasdon</t>
        </is>
      </c>
      <c r="D134" t="inlineStr">
        <is>
          <t>72</t>
        </is>
      </c>
      <c r="E134" s="2">
        <f>HYPERLINK("https://www.britishcycling.org.uk/points?person_id=981107&amp;year=2024&amp;type=national&amp;d=6","Results")</f>
        <v/>
      </c>
    </row>
    <row r="135">
      <c r="A135" t="inlineStr">
        <is>
          <t>134</t>
        </is>
      </c>
      <c r="B135" t="inlineStr">
        <is>
          <t>Becky Robertson</t>
        </is>
      </c>
      <c r="C135" t="inlineStr">
        <is>
          <t>Epic Orange Race Team</t>
        </is>
      </c>
      <c r="D135" t="inlineStr">
        <is>
          <t>72</t>
        </is>
      </c>
      <c r="E135" s="2">
        <f>HYPERLINK("https://www.britishcycling.org.uk/points?person_id=750254&amp;year=2024&amp;type=national&amp;d=6","Results")</f>
        <v/>
      </c>
    </row>
    <row r="136">
      <c r="A136" t="inlineStr">
        <is>
          <t>135</t>
        </is>
      </c>
      <c r="B136" t="inlineStr">
        <is>
          <t>Lettie McDonald</t>
        </is>
      </c>
      <c r="C136" t="inlineStr">
        <is>
          <t>Vanelli-Project Go</t>
        </is>
      </c>
      <c r="D136" t="inlineStr">
        <is>
          <t>70</t>
        </is>
      </c>
      <c r="E136" s="2">
        <f>HYPERLINK("https://www.britishcycling.org.uk/points?person_id=1094148&amp;year=2024&amp;type=national&amp;d=6","Results")</f>
        <v/>
      </c>
    </row>
    <row r="137">
      <c r="A137" t="inlineStr">
        <is>
          <t>136</t>
        </is>
      </c>
      <c r="B137" t="inlineStr">
        <is>
          <t>Kelly Wilby</t>
        </is>
      </c>
      <c r="C137" t="inlineStr">
        <is>
          <t>Shibden Cycling Club</t>
        </is>
      </c>
      <c r="D137" t="inlineStr">
        <is>
          <t>70</t>
        </is>
      </c>
      <c r="E137" s="2">
        <f>HYPERLINK("https://www.britishcycling.org.uk/points?person_id=1050312&amp;year=2024&amp;type=national&amp;d=6","Results")</f>
        <v/>
      </c>
    </row>
    <row r="138">
      <c r="A138" t="inlineStr">
        <is>
          <t>137</t>
        </is>
      </c>
      <c r="B138" t="inlineStr">
        <is>
          <t>Grace Norman</t>
        </is>
      </c>
      <c r="C138" t="inlineStr"/>
      <c r="D138" t="inlineStr">
        <is>
          <t>68</t>
        </is>
      </c>
      <c r="E138" s="2">
        <f>HYPERLINK("https://www.britishcycling.org.uk/points?person_id=970370&amp;year=2024&amp;type=national&amp;d=6","Results")</f>
        <v/>
      </c>
    </row>
    <row r="139">
      <c r="A139" t="inlineStr">
        <is>
          <t>138</t>
        </is>
      </c>
      <c r="B139" t="inlineStr">
        <is>
          <t>Daisy Taylor</t>
        </is>
      </c>
      <c r="C139" t="inlineStr">
        <is>
          <t>Royal Albert CC</t>
        </is>
      </c>
      <c r="D139" t="inlineStr">
        <is>
          <t>68</t>
        </is>
      </c>
      <c r="E139" s="2">
        <f>HYPERLINK("https://www.britishcycling.org.uk/points?person_id=297674&amp;year=2024&amp;type=national&amp;d=6","Results")</f>
        <v/>
      </c>
    </row>
    <row r="140">
      <c r="A140" t="inlineStr">
        <is>
          <t>139</t>
        </is>
      </c>
      <c r="B140" t="inlineStr">
        <is>
          <t>Tabitha Ward</t>
        </is>
      </c>
      <c r="C140" t="inlineStr">
        <is>
          <t>Summertown Cycles</t>
        </is>
      </c>
      <c r="D140" t="inlineStr">
        <is>
          <t>68</t>
        </is>
      </c>
      <c r="E140" s="2">
        <f>HYPERLINK("https://www.britishcycling.org.uk/points?person_id=448790&amp;year=2024&amp;type=national&amp;d=6","Results")</f>
        <v/>
      </c>
    </row>
    <row r="141">
      <c r="A141" t="inlineStr">
        <is>
          <t>140</t>
        </is>
      </c>
      <c r="B141" t="inlineStr">
        <is>
          <t>Roisin Lally</t>
        </is>
      </c>
      <c r="C141" t="inlineStr">
        <is>
          <t>Loughborough Lightning</t>
        </is>
      </c>
      <c r="D141" t="inlineStr">
        <is>
          <t>67</t>
        </is>
      </c>
      <c r="E141" s="2">
        <f>HYPERLINK("https://www.britishcycling.org.uk/points?person_id=174279&amp;year=2024&amp;type=national&amp;d=6","Results")</f>
        <v/>
      </c>
    </row>
    <row r="142">
      <c r="A142" t="inlineStr">
        <is>
          <t>141</t>
        </is>
      </c>
      <c r="B142" t="inlineStr">
        <is>
          <t>Monica Walder</t>
        </is>
      </c>
      <c r="C142" t="inlineStr">
        <is>
          <t>C and N Cycles RT</t>
        </is>
      </c>
      <c r="D142" t="inlineStr">
        <is>
          <t>67</t>
        </is>
      </c>
      <c r="E142" s="2">
        <f>HYPERLINK("https://www.britishcycling.org.uk/points?person_id=1032047&amp;year=2024&amp;type=national&amp;d=6","Results")</f>
        <v/>
      </c>
    </row>
    <row r="143">
      <c r="A143" t="inlineStr">
        <is>
          <t>142</t>
        </is>
      </c>
      <c r="B143" t="inlineStr">
        <is>
          <t>Caroline Cunningham</t>
        </is>
      </c>
      <c r="C143" t="inlineStr">
        <is>
          <t>North Tyneside Riders</t>
        </is>
      </c>
      <c r="D143" t="inlineStr">
        <is>
          <t>66</t>
        </is>
      </c>
      <c r="E143" s="2">
        <f>HYPERLINK("https://www.britishcycling.org.uk/points?person_id=524130&amp;year=2024&amp;type=national&amp;d=6","Results")</f>
        <v/>
      </c>
    </row>
    <row r="144">
      <c r="A144" t="inlineStr">
        <is>
          <t>143</t>
        </is>
      </c>
      <c r="B144" t="inlineStr">
        <is>
          <t>Lucy Harris</t>
        </is>
      </c>
      <c r="C144" t="inlineStr">
        <is>
          <t>Pro-Noctis - 200º Coffee - Hargreaves Contracting Ltd</t>
        </is>
      </c>
      <c r="D144" t="inlineStr">
        <is>
          <t>66</t>
        </is>
      </c>
      <c r="E144" s="2">
        <f>HYPERLINK("https://www.britishcycling.org.uk/points?person_id=949993&amp;year=2024&amp;type=national&amp;d=6","Results")</f>
        <v/>
      </c>
    </row>
    <row r="145">
      <c r="A145" t="inlineStr">
        <is>
          <t>144</t>
        </is>
      </c>
      <c r="B145" t="inlineStr">
        <is>
          <t>Kara Weir</t>
        </is>
      </c>
      <c r="C145" t="inlineStr">
        <is>
          <t>Peddlamaniacs Cycle Club</t>
        </is>
      </c>
      <c r="D145" t="inlineStr">
        <is>
          <t>65</t>
        </is>
      </c>
      <c r="E145" s="2">
        <f>HYPERLINK("https://www.britishcycling.org.uk/points?person_id=1021586&amp;year=2024&amp;type=national&amp;d=6","Results")</f>
        <v/>
      </c>
    </row>
    <row r="146">
      <c r="A146" t="inlineStr">
        <is>
          <t>145</t>
        </is>
      </c>
      <c r="B146" t="inlineStr">
        <is>
          <t>Jessica Denman</t>
        </is>
      </c>
      <c r="C146" t="inlineStr">
        <is>
          <t>Ilkeston Cycle Club</t>
        </is>
      </c>
      <c r="D146" t="inlineStr">
        <is>
          <t>64</t>
        </is>
      </c>
      <c r="E146" s="2">
        <f>HYPERLINK("https://www.britishcycling.org.uk/points?person_id=392621&amp;year=2024&amp;type=national&amp;d=6","Results")</f>
        <v/>
      </c>
    </row>
    <row r="147">
      <c r="A147" t="inlineStr">
        <is>
          <t>146</t>
        </is>
      </c>
      <c r="B147" t="inlineStr">
        <is>
          <t>Sophie Halhead</t>
        </is>
      </c>
      <c r="C147" t="inlineStr"/>
      <c r="D147" t="inlineStr">
        <is>
          <t>64</t>
        </is>
      </c>
      <c r="E147" s="2">
        <f>HYPERLINK("https://www.britishcycling.org.uk/points?person_id=545991&amp;year=2024&amp;type=national&amp;d=6","Results")</f>
        <v/>
      </c>
    </row>
    <row r="148">
      <c r="A148" t="inlineStr">
        <is>
          <t>147</t>
        </is>
      </c>
      <c r="B148" t="inlineStr">
        <is>
          <t>Iona Hamilton</t>
        </is>
      </c>
      <c r="C148" t="inlineStr">
        <is>
          <t>Vanelli-Project Go</t>
        </is>
      </c>
      <c r="D148" t="inlineStr">
        <is>
          <t>64</t>
        </is>
      </c>
      <c r="E148" s="2">
        <f>HYPERLINK("https://www.britishcycling.org.uk/points?person_id=903808&amp;year=2024&amp;type=national&amp;d=6","Results")</f>
        <v/>
      </c>
    </row>
    <row r="149">
      <c r="A149" t="inlineStr">
        <is>
          <t>148</t>
        </is>
      </c>
      <c r="B149" t="inlineStr">
        <is>
          <t>Rosie Billsborrow</t>
        </is>
      </c>
      <c r="C149" t="inlineStr">
        <is>
          <t>Ilkeston Cycle Club</t>
        </is>
      </c>
      <c r="D149" t="inlineStr">
        <is>
          <t>63</t>
        </is>
      </c>
      <c r="E149" s="2">
        <f>HYPERLINK("https://www.britishcycling.org.uk/points?person_id=1034885&amp;year=2024&amp;type=national&amp;d=6","Results")</f>
        <v/>
      </c>
    </row>
    <row r="150">
      <c r="A150" t="inlineStr">
        <is>
          <t>149</t>
        </is>
      </c>
      <c r="B150" t="inlineStr">
        <is>
          <t>Amy Perryman</t>
        </is>
      </c>
      <c r="C150" t="inlineStr">
        <is>
          <t>TEKKERZ CC</t>
        </is>
      </c>
      <c r="D150" t="inlineStr">
        <is>
          <t>63</t>
        </is>
      </c>
      <c r="E150" s="2">
        <f>HYPERLINK("https://www.britishcycling.org.uk/points?person_id=133552&amp;year=2024&amp;type=national&amp;d=6","Results")</f>
        <v/>
      </c>
    </row>
    <row r="151">
      <c r="A151" t="inlineStr">
        <is>
          <t>150</t>
        </is>
      </c>
      <c r="B151" t="inlineStr">
        <is>
          <t>Rachel Dunn</t>
        </is>
      </c>
      <c r="C151" t="inlineStr">
        <is>
          <t>Verulam - reallymoving.com</t>
        </is>
      </c>
      <c r="D151" t="inlineStr">
        <is>
          <t>62</t>
        </is>
      </c>
      <c r="E151" s="2">
        <f>HYPERLINK("https://www.britishcycling.org.uk/points?person_id=377653&amp;year=2024&amp;type=national&amp;d=6","Results")</f>
        <v/>
      </c>
    </row>
    <row r="152">
      <c r="A152" t="inlineStr">
        <is>
          <t>151</t>
        </is>
      </c>
      <c r="B152" t="inlineStr">
        <is>
          <t>Isabel Mayes</t>
        </is>
      </c>
      <c r="C152" t="inlineStr">
        <is>
          <t>Shibden Apex RT</t>
        </is>
      </c>
      <c r="D152" t="inlineStr">
        <is>
          <t>60</t>
        </is>
      </c>
      <c r="E152" s="2">
        <f>HYPERLINK("https://www.britishcycling.org.uk/points?person_id=541628&amp;year=2024&amp;type=national&amp;d=6","Results")</f>
        <v/>
      </c>
    </row>
    <row r="153">
      <c r="A153" t="inlineStr">
        <is>
          <t>152</t>
        </is>
      </c>
      <c r="B153" t="inlineStr">
        <is>
          <t>Imogen Wolff</t>
        </is>
      </c>
      <c r="C153" t="inlineStr">
        <is>
          <t>Team Visma - Lease a Bike</t>
        </is>
      </c>
      <c r="D153" t="inlineStr">
        <is>
          <t>60</t>
        </is>
      </c>
      <c r="E153" s="2">
        <f>HYPERLINK("https://www.britishcycling.org.uk/points?person_id=757738&amp;year=2024&amp;type=national&amp;d=6","Results")</f>
        <v/>
      </c>
    </row>
    <row r="154">
      <c r="A154" t="inlineStr">
        <is>
          <t>153</t>
        </is>
      </c>
      <c r="B154" t="inlineStr">
        <is>
          <t>Sarah Craig</t>
        </is>
      </c>
      <c r="C154" t="inlineStr">
        <is>
          <t>Ride for Charlie</t>
        </is>
      </c>
      <c r="D154" t="inlineStr">
        <is>
          <t>59</t>
        </is>
      </c>
      <c r="E154" s="2">
        <f>HYPERLINK("https://www.britishcycling.org.uk/points?person_id=1136187&amp;year=2024&amp;type=national&amp;d=6","Results")</f>
        <v/>
      </c>
    </row>
    <row r="155">
      <c r="A155" t="inlineStr">
        <is>
          <t>154</t>
        </is>
      </c>
      <c r="B155" t="inlineStr">
        <is>
          <t>Ruth Taylor</t>
        </is>
      </c>
      <c r="C155" t="inlineStr">
        <is>
          <t>Element Cycling Team</t>
        </is>
      </c>
      <c r="D155" t="inlineStr">
        <is>
          <t>58</t>
        </is>
      </c>
      <c r="E155" s="2">
        <f>HYPERLINK("https://www.britishcycling.org.uk/points?person_id=139134&amp;year=2024&amp;type=national&amp;d=6","Results")</f>
        <v/>
      </c>
    </row>
    <row r="156">
      <c r="A156" t="inlineStr">
        <is>
          <t>155</t>
        </is>
      </c>
      <c r="B156" t="inlineStr">
        <is>
          <t>Freya Whiteside</t>
        </is>
      </c>
      <c r="C156" t="inlineStr">
        <is>
          <t>Shibden Cycling Club</t>
        </is>
      </c>
      <c r="D156" t="inlineStr">
        <is>
          <t>58</t>
        </is>
      </c>
      <c r="E156" s="2">
        <f>HYPERLINK("https://www.britishcycling.org.uk/points?person_id=395535&amp;year=2024&amp;type=national&amp;d=6","Results")</f>
        <v/>
      </c>
    </row>
    <row r="157">
      <c r="A157" t="inlineStr">
        <is>
          <t>156</t>
        </is>
      </c>
      <c r="B157" t="inlineStr">
        <is>
          <t>Teri Bayliss</t>
        </is>
      </c>
      <c r="C157" t="inlineStr">
        <is>
          <t>Reifen Racing</t>
        </is>
      </c>
      <c r="D157" t="inlineStr">
        <is>
          <t>57</t>
        </is>
      </c>
      <c r="E157" s="2">
        <f>HYPERLINK("https://www.britishcycling.org.uk/points?person_id=108690&amp;year=2024&amp;type=national&amp;d=6","Results")</f>
        <v/>
      </c>
    </row>
    <row r="158">
      <c r="A158" t="inlineStr">
        <is>
          <t>157</t>
        </is>
      </c>
      <c r="B158" t="inlineStr">
        <is>
          <t>Grace Whitehouse</t>
        </is>
      </c>
      <c r="C158" t="inlineStr">
        <is>
          <t>WarVena Racing Team</t>
        </is>
      </c>
      <c r="D158" t="inlineStr">
        <is>
          <t>56</t>
        </is>
      </c>
      <c r="E158" s="2">
        <f>HYPERLINK("https://www.britishcycling.org.uk/points?person_id=178440&amp;year=2024&amp;type=national&amp;d=6","Results")</f>
        <v/>
      </c>
    </row>
    <row r="159">
      <c r="A159" t="inlineStr">
        <is>
          <t>158</t>
        </is>
      </c>
      <c r="B159" t="inlineStr">
        <is>
          <t>Bea Ferry</t>
        </is>
      </c>
      <c r="C159" t="inlineStr">
        <is>
          <t>Wolfox x Pedal Mafia RT</t>
        </is>
      </c>
      <c r="D159" t="inlineStr">
        <is>
          <t>55</t>
        </is>
      </c>
      <c r="E159" s="2">
        <f>HYPERLINK("https://www.britishcycling.org.uk/points?person_id=1033504&amp;year=2024&amp;type=national&amp;d=6","Results")</f>
        <v/>
      </c>
    </row>
    <row r="160">
      <c r="A160" t="inlineStr">
        <is>
          <t>159</t>
        </is>
      </c>
      <c r="B160" t="inlineStr">
        <is>
          <t>Amy Drysdale</t>
        </is>
      </c>
      <c r="C160" t="inlineStr">
        <is>
          <t>Team Boompods</t>
        </is>
      </c>
      <c r="D160" t="inlineStr">
        <is>
          <t>52</t>
        </is>
      </c>
      <c r="E160" s="2">
        <f>HYPERLINK("https://www.britishcycling.org.uk/points?person_id=857067&amp;year=2024&amp;type=national&amp;d=6","Results")</f>
        <v/>
      </c>
    </row>
    <row r="161">
      <c r="A161" t="inlineStr">
        <is>
          <t>160</t>
        </is>
      </c>
      <c r="B161" t="inlineStr">
        <is>
          <t>Grace Inglis</t>
        </is>
      </c>
      <c r="C161" t="inlineStr"/>
      <c r="D161" t="inlineStr">
        <is>
          <t>52</t>
        </is>
      </c>
      <c r="E161" s="2">
        <f>HYPERLINK("https://www.britishcycling.org.uk/points?person_id=653413&amp;year=2024&amp;type=national&amp;d=6","Results")</f>
        <v/>
      </c>
    </row>
    <row r="162">
      <c r="A162" t="inlineStr">
        <is>
          <t>161</t>
        </is>
      </c>
      <c r="B162" t="inlineStr">
        <is>
          <t>Helen Pattinson</t>
        </is>
      </c>
      <c r="C162" t="inlineStr">
        <is>
          <t>Montezuma's Eventrex Race Team</t>
        </is>
      </c>
      <c r="D162" t="inlineStr">
        <is>
          <t>52</t>
        </is>
      </c>
      <c r="E162" s="2">
        <f>HYPERLINK("https://www.britishcycling.org.uk/points?person_id=240019&amp;year=2024&amp;type=national&amp;d=6","Results")</f>
        <v/>
      </c>
    </row>
    <row r="163">
      <c r="A163" t="inlineStr">
        <is>
          <t>162</t>
        </is>
      </c>
      <c r="B163" t="inlineStr">
        <is>
          <t>Jackie Shute</t>
        </is>
      </c>
      <c r="C163" t="inlineStr">
        <is>
          <t>Mid Devon CC</t>
        </is>
      </c>
      <c r="D163" t="inlineStr">
        <is>
          <t>52</t>
        </is>
      </c>
      <c r="E163" s="2">
        <f>HYPERLINK("https://www.britishcycling.org.uk/points?person_id=395528&amp;year=2024&amp;type=national&amp;d=6","Results")</f>
        <v/>
      </c>
    </row>
    <row r="164">
      <c r="A164" t="inlineStr">
        <is>
          <t>163</t>
        </is>
      </c>
      <c r="B164" t="inlineStr">
        <is>
          <t>Emma Davies</t>
        </is>
      </c>
      <c r="C164" t="inlineStr">
        <is>
          <t>Port Talbot Wheelers</t>
        </is>
      </c>
      <c r="D164" t="inlineStr">
        <is>
          <t>51</t>
        </is>
      </c>
      <c r="E164" s="2">
        <f>HYPERLINK("https://www.britishcycling.org.uk/points?person_id=630823&amp;year=2024&amp;type=national&amp;d=6","Results")</f>
        <v/>
      </c>
    </row>
    <row r="165">
      <c r="A165" t="inlineStr">
        <is>
          <t>164</t>
        </is>
      </c>
      <c r="B165" t="inlineStr">
        <is>
          <t>Caroline Duffell</t>
        </is>
      </c>
      <c r="C165" t="inlineStr">
        <is>
          <t>SCOTT Pioneer DJ</t>
        </is>
      </c>
      <c r="D165" t="inlineStr">
        <is>
          <t>50</t>
        </is>
      </c>
      <c r="E165" s="2">
        <f>HYPERLINK("https://www.britishcycling.org.uk/points?person_id=41795&amp;year=2024&amp;type=national&amp;d=6","Results")</f>
        <v/>
      </c>
    </row>
    <row r="166">
      <c r="A166" t="inlineStr">
        <is>
          <t>165</t>
        </is>
      </c>
      <c r="B166" t="inlineStr">
        <is>
          <t>Harriet Lowden</t>
        </is>
      </c>
      <c r="C166" t="inlineStr">
        <is>
          <t>Rapha Cycling Club</t>
        </is>
      </c>
      <c r="D166" t="inlineStr">
        <is>
          <t>50</t>
        </is>
      </c>
      <c r="E166" s="2">
        <f>HYPERLINK("https://www.britishcycling.org.uk/points?person_id=731657&amp;year=2024&amp;type=national&amp;d=6","Results")</f>
        <v/>
      </c>
    </row>
    <row r="167">
      <c r="A167" t="inlineStr">
        <is>
          <t>166</t>
        </is>
      </c>
      <c r="B167" t="inlineStr">
        <is>
          <t>Michelle Paget</t>
        </is>
      </c>
      <c r="C167" t="inlineStr">
        <is>
          <t>Peddlamaniacs Cycle Club</t>
        </is>
      </c>
      <c r="D167" t="inlineStr">
        <is>
          <t>50</t>
        </is>
      </c>
      <c r="E167" s="2">
        <f>HYPERLINK("https://www.britishcycling.org.uk/points?person_id=98016&amp;year=2024&amp;type=national&amp;d=6","Results")</f>
        <v/>
      </c>
    </row>
    <row r="168">
      <c r="A168" t="inlineStr">
        <is>
          <t>167</t>
        </is>
      </c>
      <c r="B168" t="inlineStr">
        <is>
          <t>Fran Whyte</t>
        </is>
      </c>
      <c r="C168" t="inlineStr"/>
      <c r="D168" t="inlineStr">
        <is>
          <t>50</t>
        </is>
      </c>
      <c r="E168" s="2">
        <f>HYPERLINK("https://www.britishcycling.org.uk/points?person_id=262068&amp;year=2024&amp;type=national&amp;d=6","Results")</f>
        <v/>
      </c>
    </row>
    <row r="169">
      <c r="A169" t="inlineStr">
        <is>
          <t>168</t>
        </is>
      </c>
      <c r="B169" t="inlineStr">
        <is>
          <t>Louise Crossman</t>
        </is>
      </c>
      <c r="C169" t="inlineStr"/>
      <c r="D169" t="inlineStr">
        <is>
          <t>49</t>
        </is>
      </c>
      <c r="E169" s="2">
        <f>HYPERLINK("https://www.britishcycling.org.uk/points?person_id=425849&amp;year=2024&amp;type=national&amp;d=6","Results")</f>
        <v/>
      </c>
    </row>
    <row r="170">
      <c r="A170" t="inlineStr">
        <is>
          <t>169</t>
        </is>
      </c>
      <c r="B170" t="inlineStr">
        <is>
          <t>Lucy Driver</t>
        </is>
      </c>
      <c r="C170" t="inlineStr">
        <is>
          <t>Bridgwater Cycling Club</t>
        </is>
      </c>
      <c r="D170" t="inlineStr">
        <is>
          <t>48</t>
        </is>
      </c>
      <c r="E170" s="2">
        <f>HYPERLINK("https://www.britishcycling.org.uk/points?person_id=446984&amp;year=2024&amp;type=national&amp;d=6","Results")</f>
        <v/>
      </c>
    </row>
    <row r="171">
      <c r="A171" t="inlineStr">
        <is>
          <t>170</t>
        </is>
      </c>
      <c r="B171" t="inlineStr">
        <is>
          <t>Lesley Wilkinson</t>
        </is>
      </c>
      <c r="C171" t="inlineStr">
        <is>
          <t>Addiscombe CC</t>
        </is>
      </c>
      <c r="D171" t="inlineStr">
        <is>
          <t>48</t>
        </is>
      </c>
      <c r="E171" s="2">
        <f>HYPERLINK("https://www.britishcycling.org.uk/points?person_id=266586&amp;year=2024&amp;type=national&amp;d=6","Results")</f>
        <v/>
      </c>
    </row>
    <row r="172">
      <c r="A172" t="inlineStr">
        <is>
          <t>171</t>
        </is>
      </c>
      <c r="B172" t="inlineStr">
        <is>
          <t>Victoria Peel</t>
        </is>
      </c>
      <c r="C172" t="inlineStr">
        <is>
          <t>Hope Factory Racing</t>
        </is>
      </c>
      <c r="D172" t="inlineStr">
        <is>
          <t>47</t>
        </is>
      </c>
      <c r="E172" s="2">
        <f>HYPERLINK("https://www.britishcycling.org.uk/points?person_id=852631&amp;year=2024&amp;type=national&amp;d=6","Results")</f>
        <v/>
      </c>
    </row>
    <row r="173">
      <c r="A173" t="inlineStr">
        <is>
          <t>172</t>
        </is>
      </c>
      <c r="B173" t="inlineStr">
        <is>
          <t>Ellen Bennett</t>
        </is>
      </c>
      <c r="C173" t="inlineStr">
        <is>
          <t>Brother UK - On Form</t>
        </is>
      </c>
      <c r="D173" t="inlineStr">
        <is>
          <t>46</t>
        </is>
      </c>
      <c r="E173" s="2">
        <f>HYPERLINK("https://www.britishcycling.org.uk/points?person_id=330343&amp;year=2024&amp;type=national&amp;d=6","Results")</f>
        <v/>
      </c>
    </row>
    <row r="174">
      <c r="A174" t="inlineStr">
        <is>
          <t>173</t>
        </is>
      </c>
      <c r="B174" t="inlineStr">
        <is>
          <t>Geri Gorton</t>
        </is>
      </c>
      <c r="C174" t="inlineStr">
        <is>
          <t>Shibden Cycling Club</t>
        </is>
      </c>
      <c r="D174" t="inlineStr">
        <is>
          <t>46</t>
        </is>
      </c>
      <c r="E174" s="2">
        <f>HYPERLINK("https://www.britishcycling.org.uk/points?person_id=1040455&amp;year=2024&amp;type=national&amp;d=6","Results")</f>
        <v/>
      </c>
    </row>
    <row r="175">
      <c r="A175" t="inlineStr">
        <is>
          <t>174</t>
        </is>
      </c>
      <c r="B175" t="inlineStr">
        <is>
          <t>Lynne Scofield</t>
        </is>
      </c>
      <c r="C175" t="inlineStr">
        <is>
          <t>Rockingham Forest Whls</t>
        </is>
      </c>
      <c r="D175" t="inlineStr">
        <is>
          <t>46</t>
        </is>
      </c>
      <c r="E175" s="2">
        <f>HYPERLINK("https://www.britishcycling.org.uk/points?person_id=1036194&amp;year=2024&amp;type=national&amp;d=6","Results")</f>
        <v/>
      </c>
    </row>
    <row r="176">
      <c r="A176" t="inlineStr">
        <is>
          <t>175</t>
        </is>
      </c>
      <c r="B176" t="inlineStr">
        <is>
          <t>Amy Mourne</t>
        </is>
      </c>
      <c r="C176" t="inlineStr">
        <is>
          <t>Doltcini - Cycle Division</t>
        </is>
      </c>
      <c r="D176" t="inlineStr">
        <is>
          <t>45</t>
        </is>
      </c>
      <c r="E176" s="2">
        <f>HYPERLINK("https://www.britishcycling.org.uk/points?person_id=358925&amp;year=2024&amp;type=national&amp;d=6","Results")</f>
        <v/>
      </c>
    </row>
    <row r="177">
      <c r="A177" t="inlineStr">
        <is>
          <t>176</t>
        </is>
      </c>
      <c r="B177" t="inlineStr">
        <is>
          <t>Olivia Howcroft</t>
        </is>
      </c>
      <c r="C177" t="inlineStr">
        <is>
          <t>Velo Bavarian RT</t>
        </is>
      </c>
      <c r="D177" t="inlineStr">
        <is>
          <t>44</t>
        </is>
      </c>
      <c r="E177" s="2">
        <f>HYPERLINK("https://www.britishcycling.org.uk/points?person_id=1117239&amp;year=2024&amp;type=national&amp;d=6","Results")</f>
        <v/>
      </c>
    </row>
    <row r="178">
      <c r="A178" t="inlineStr">
        <is>
          <t>177</t>
        </is>
      </c>
      <c r="B178" t="inlineStr">
        <is>
          <t>Bronwen Jenkinson</t>
        </is>
      </c>
      <c r="C178" t="inlineStr">
        <is>
          <t>Saint Piran WRT</t>
        </is>
      </c>
      <c r="D178" t="inlineStr">
        <is>
          <t>44</t>
        </is>
      </c>
      <c r="E178" s="2">
        <f>HYPERLINK("https://www.britishcycling.org.uk/points?person_id=1041046&amp;year=2024&amp;type=national&amp;d=6","Results")</f>
        <v/>
      </c>
    </row>
    <row r="179">
      <c r="A179" t="inlineStr">
        <is>
          <t>178</t>
        </is>
      </c>
      <c r="B179" t="inlineStr">
        <is>
          <t>Noemie Thomson</t>
        </is>
      </c>
      <c r="C179" t="inlineStr">
        <is>
          <t>Southborough &amp; District Whls</t>
        </is>
      </c>
      <c r="D179" t="inlineStr">
        <is>
          <t>44</t>
        </is>
      </c>
      <c r="E179" s="2">
        <f>HYPERLINK("https://www.britishcycling.org.uk/points?person_id=1152939&amp;year=2024&amp;type=national&amp;d=6","Results")</f>
        <v/>
      </c>
    </row>
    <row r="180">
      <c r="A180" t="inlineStr">
        <is>
          <t>179</t>
        </is>
      </c>
      <c r="B180" t="inlineStr">
        <is>
          <t>Laura Wilkey</t>
        </is>
      </c>
      <c r="C180" t="inlineStr">
        <is>
          <t>Crawley Wheelers</t>
        </is>
      </c>
      <c r="D180" t="inlineStr">
        <is>
          <t>44</t>
        </is>
      </c>
      <c r="E180" s="2">
        <f>HYPERLINK("https://www.britishcycling.org.uk/points?person_id=528254&amp;year=2024&amp;type=national&amp;d=6","Results")</f>
        <v/>
      </c>
    </row>
    <row r="181">
      <c r="A181" t="inlineStr">
        <is>
          <t>180</t>
        </is>
      </c>
      <c r="B181" t="inlineStr">
        <is>
          <t>Ellen Webber</t>
        </is>
      </c>
      <c r="C181" t="inlineStr">
        <is>
          <t>North Devon Velo</t>
        </is>
      </c>
      <c r="D181" t="inlineStr">
        <is>
          <t>42</t>
        </is>
      </c>
      <c r="E181" s="2">
        <f>HYPERLINK("https://www.britishcycling.org.uk/points?person_id=538529&amp;year=2024&amp;type=national&amp;d=6","Results")</f>
        <v/>
      </c>
    </row>
    <row r="182">
      <c r="A182" t="inlineStr">
        <is>
          <t>181</t>
        </is>
      </c>
      <c r="B182" t="inlineStr">
        <is>
          <t>Julia Behnsen</t>
        </is>
      </c>
      <c r="C182" t="inlineStr">
        <is>
          <t>Port Sunlight Wheelers</t>
        </is>
      </c>
      <c r="D182" t="inlineStr">
        <is>
          <t>41</t>
        </is>
      </c>
      <c r="E182" s="2">
        <f>HYPERLINK("https://www.britishcycling.org.uk/points?person_id=527263&amp;year=2024&amp;type=national&amp;d=6","Results")</f>
        <v/>
      </c>
    </row>
    <row r="183">
      <c r="A183" t="inlineStr">
        <is>
          <t>182</t>
        </is>
      </c>
      <c r="B183" t="inlineStr">
        <is>
          <t>Katie Burgess</t>
        </is>
      </c>
      <c r="C183" t="inlineStr">
        <is>
          <t>Oscar Bravo</t>
        </is>
      </c>
      <c r="D183" t="inlineStr">
        <is>
          <t>41</t>
        </is>
      </c>
      <c r="E183" s="2">
        <f>HYPERLINK("https://www.britishcycling.org.uk/points?person_id=55991&amp;year=2024&amp;type=national&amp;d=6","Results")</f>
        <v/>
      </c>
    </row>
    <row r="184">
      <c r="A184" t="inlineStr">
        <is>
          <t>183</t>
        </is>
      </c>
      <c r="B184" t="inlineStr">
        <is>
          <t>Carly Ibbitson</t>
        </is>
      </c>
      <c r="C184" t="inlineStr">
        <is>
          <t>Fareham Wheelers Cycling Club</t>
        </is>
      </c>
      <c r="D184" t="inlineStr">
        <is>
          <t>41</t>
        </is>
      </c>
      <c r="E184" s="2">
        <f>HYPERLINK("https://www.britishcycling.org.uk/points?person_id=401053&amp;year=2024&amp;type=national&amp;d=6","Results")</f>
        <v/>
      </c>
    </row>
    <row r="185">
      <c r="A185" t="inlineStr">
        <is>
          <t>184</t>
        </is>
      </c>
      <c r="B185" t="inlineStr">
        <is>
          <t>Rachel Clay</t>
        </is>
      </c>
      <c r="C185" t="inlineStr">
        <is>
          <t>GS Vecchi</t>
        </is>
      </c>
      <c r="D185" t="inlineStr">
        <is>
          <t>40</t>
        </is>
      </c>
      <c r="E185" s="2">
        <f>HYPERLINK("https://www.britishcycling.org.uk/points?person_id=41520&amp;year=2024&amp;type=national&amp;d=6","Results")</f>
        <v/>
      </c>
    </row>
    <row r="186">
      <c r="A186" t="inlineStr">
        <is>
          <t>185</t>
        </is>
      </c>
      <c r="B186" t="inlineStr">
        <is>
          <t>Beatrix Kiehlmann</t>
        </is>
      </c>
      <c r="C186" t="inlineStr">
        <is>
          <t>Royal Albert CC</t>
        </is>
      </c>
      <c r="D186" t="inlineStr">
        <is>
          <t>40</t>
        </is>
      </c>
      <c r="E186" s="2">
        <f>HYPERLINK("https://www.britishcycling.org.uk/points?person_id=405787&amp;year=2024&amp;type=national&amp;d=6","Results")</f>
        <v/>
      </c>
    </row>
    <row r="187">
      <c r="A187" t="inlineStr">
        <is>
          <t>186</t>
        </is>
      </c>
      <c r="B187" t="inlineStr">
        <is>
          <t>Florence Lissaman</t>
        </is>
      </c>
      <c r="C187" t="inlineStr">
        <is>
          <t>Newark Castle CC</t>
        </is>
      </c>
      <c r="D187" t="inlineStr">
        <is>
          <t>40</t>
        </is>
      </c>
      <c r="E187" s="2">
        <f>HYPERLINK("https://www.britishcycling.org.uk/points?person_id=318895&amp;year=2024&amp;type=national&amp;d=6","Results")</f>
        <v/>
      </c>
    </row>
    <row r="188">
      <c r="A188" t="inlineStr">
        <is>
          <t>187</t>
        </is>
      </c>
      <c r="B188" t="inlineStr">
        <is>
          <t>Abigail Miller</t>
        </is>
      </c>
      <c r="C188" t="inlineStr">
        <is>
          <t>University of Nottingham CC</t>
        </is>
      </c>
      <c r="D188" t="inlineStr">
        <is>
          <t>40</t>
        </is>
      </c>
      <c r="E188" s="2">
        <f>HYPERLINK("https://www.britishcycling.org.uk/points?person_id=532038&amp;year=2024&amp;type=national&amp;d=6","Results")</f>
        <v/>
      </c>
    </row>
    <row r="189">
      <c r="A189" t="inlineStr">
        <is>
          <t>188</t>
        </is>
      </c>
      <c r="B189" t="inlineStr">
        <is>
          <t>Amy McQueen</t>
        </is>
      </c>
      <c r="C189" t="inlineStr">
        <is>
          <t>Ronde Cycling Club</t>
        </is>
      </c>
      <c r="D189" t="inlineStr">
        <is>
          <t>38</t>
        </is>
      </c>
      <c r="E189" s="2">
        <f>HYPERLINK("https://www.britishcycling.org.uk/points?person_id=818330&amp;year=2024&amp;type=national&amp;d=6","Results")</f>
        <v/>
      </c>
    </row>
    <row r="190">
      <c r="A190" t="inlineStr">
        <is>
          <t>189</t>
        </is>
      </c>
      <c r="B190" t="inlineStr">
        <is>
          <t>Tracey Fletcher</t>
        </is>
      </c>
      <c r="C190" t="inlineStr">
        <is>
          <t>Magspeed Racing</t>
        </is>
      </c>
      <c r="D190" t="inlineStr">
        <is>
          <t>37</t>
        </is>
      </c>
      <c r="E190" s="2">
        <f>HYPERLINK("https://www.britishcycling.org.uk/points?person_id=27758&amp;year=2024&amp;type=national&amp;d=6","Results")</f>
        <v/>
      </c>
    </row>
    <row r="191">
      <c r="A191" t="inlineStr">
        <is>
          <t>190</t>
        </is>
      </c>
      <c r="B191" t="inlineStr">
        <is>
          <t>Charlotte Fox</t>
        </is>
      </c>
      <c r="C191" t="inlineStr">
        <is>
          <t>Clifton CC</t>
        </is>
      </c>
      <c r="D191" t="inlineStr">
        <is>
          <t>37</t>
        </is>
      </c>
      <c r="E191" s="2">
        <f>HYPERLINK("https://www.britishcycling.org.uk/points?person_id=430080&amp;year=2024&amp;type=national&amp;d=6","Results")</f>
        <v/>
      </c>
    </row>
    <row r="192">
      <c r="A192" t="inlineStr">
        <is>
          <t>191</t>
        </is>
      </c>
      <c r="B192" t="inlineStr">
        <is>
          <t>Francesca Morgans-Slader</t>
        </is>
      </c>
      <c r="C192" t="inlineStr">
        <is>
          <t>Doltcini - O'Shea</t>
        </is>
      </c>
      <c r="D192" t="inlineStr">
        <is>
          <t>37</t>
        </is>
      </c>
      <c r="E192" s="2">
        <f>HYPERLINK("https://www.britishcycling.org.uk/points?person_id=30583&amp;year=2024&amp;type=national&amp;d=6","Results")</f>
        <v/>
      </c>
    </row>
    <row r="193">
      <c r="A193" t="inlineStr">
        <is>
          <t>192</t>
        </is>
      </c>
      <c r="B193" t="inlineStr">
        <is>
          <t>Nicola Powell</t>
        </is>
      </c>
      <c r="C193" t="inlineStr">
        <is>
          <t>Stowmarket &amp; District CC</t>
        </is>
      </c>
      <c r="D193" t="inlineStr">
        <is>
          <t>37</t>
        </is>
      </c>
      <c r="E193" s="2">
        <f>HYPERLINK("https://www.britishcycling.org.uk/points?person_id=506772&amp;year=2024&amp;type=national&amp;d=6","Results")</f>
        <v/>
      </c>
    </row>
    <row r="194">
      <c r="A194" t="inlineStr">
        <is>
          <t>193</t>
        </is>
      </c>
      <c r="B194" t="inlineStr">
        <is>
          <t>Kate Taylor</t>
        </is>
      </c>
      <c r="C194" t="inlineStr">
        <is>
          <t>360cycling</t>
        </is>
      </c>
      <c r="D194" t="inlineStr">
        <is>
          <t>37</t>
        </is>
      </c>
      <c r="E194" s="2">
        <f>HYPERLINK("https://www.britishcycling.org.uk/points?person_id=177765&amp;year=2024&amp;type=national&amp;d=6","Results")</f>
        <v/>
      </c>
    </row>
    <row r="195">
      <c r="A195" t="inlineStr">
        <is>
          <t>194</t>
        </is>
      </c>
      <c r="B195" t="inlineStr">
        <is>
          <t>Isla Hedley</t>
        </is>
      </c>
      <c r="C195" t="inlineStr"/>
      <c r="D195" t="inlineStr">
        <is>
          <t>36</t>
        </is>
      </c>
      <c r="E195" s="2">
        <f>HYPERLINK("https://www.britishcycling.org.uk/points?person_id=987666&amp;year=2024&amp;type=national&amp;d=6","Results")</f>
        <v/>
      </c>
    </row>
    <row r="196">
      <c r="A196" t="inlineStr">
        <is>
          <t>195</t>
        </is>
      </c>
      <c r="B196" t="inlineStr">
        <is>
          <t>Jaime Nicholson</t>
        </is>
      </c>
      <c r="C196" t="inlineStr">
        <is>
          <t>Hoddom Velo</t>
        </is>
      </c>
      <c r="D196" t="inlineStr">
        <is>
          <t>36</t>
        </is>
      </c>
      <c r="E196" s="2">
        <f>HYPERLINK("https://www.britishcycling.org.uk/points?person_id=359776&amp;year=2024&amp;type=national&amp;d=6","Results")</f>
        <v/>
      </c>
    </row>
    <row r="197">
      <c r="A197" t="inlineStr">
        <is>
          <t>196</t>
        </is>
      </c>
      <c r="B197" t="inlineStr">
        <is>
          <t>Kate Robson</t>
        </is>
      </c>
      <c r="C197" t="inlineStr">
        <is>
          <t>Pedalon.co.uk</t>
        </is>
      </c>
      <c r="D197" t="inlineStr">
        <is>
          <t>36</t>
        </is>
      </c>
      <c r="E197" s="2">
        <f>HYPERLINK("https://www.britishcycling.org.uk/points?person_id=614714&amp;year=2024&amp;type=national&amp;d=6","Results")</f>
        <v/>
      </c>
    </row>
    <row r="198">
      <c r="A198" t="inlineStr">
        <is>
          <t>197</t>
        </is>
      </c>
      <c r="B198" t="inlineStr">
        <is>
          <t>Ruth Stapleton</t>
        </is>
      </c>
      <c r="C198" t="inlineStr">
        <is>
          <t>Newhall.cc</t>
        </is>
      </c>
      <c r="D198" t="inlineStr">
        <is>
          <t>36</t>
        </is>
      </c>
      <c r="E198" s="2">
        <f>HYPERLINK("https://www.britishcycling.org.uk/points?person_id=253328&amp;year=2024&amp;type=national&amp;d=6","Results")</f>
        <v/>
      </c>
    </row>
    <row r="199">
      <c r="A199" t="inlineStr">
        <is>
          <t>198</t>
        </is>
      </c>
      <c r="B199" t="inlineStr">
        <is>
          <t>Kristin Stolpe</t>
        </is>
      </c>
      <c r="C199" t="inlineStr">
        <is>
          <t>Verulam - reallymoving.com</t>
        </is>
      </c>
      <c r="D199" t="inlineStr">
        <is>
          <t>36</t>
        </is>
      </c>
      <c r="E199" s="2">
        <f>HYPERLINK("https://www.britishcycling.org.uk/points?person_id=578079&amp;year=2024&amp;type=national&amp;d=6","Results")</f>
        <v/>
      </c>
    </row>
    <row r="200">
      <c r="A200" t="inlineStr">
        <is>
          <t>199</t>
        </is>
      </c>
      <c r="B200" t="inlineStr">
        <is>
          <t>Hannah Nicholson</t>
        </is>
      </c>
      <c r="C200" t="inlineStr"/>
      <c r="D200" t="inlineStr">
        <is>
          <t>35</t>
        </is>
      </c>
      <c r="E200" s="2">
        <f>HYPERLINK("https://www.britishcycling.org.uk/points?person_id=1129982&amp;year=2024&amp;type=national&amp;d=6","Results")</f>
        <v/>
      </c>
    </row>
    <row r="201">
      <c r="A201" t="inlineStr">
        <is>
          <t>200</t>
        </is>
      </c>
      <c r="B201" t="inlineStr">
        <is>
          <t>Nikola Matthews</t>
        </is>
      </c>
      <c r="C201" t="inlineStr">
        <is>
          <t>Shibden Cycling Club</t>
        </is>
      </c>
      <c r="D201" t="inlineStr">
        <is>
          <t>34</t>
        </is>
      </c>
      <c r="E201" s="2">
        <f>HYPERLINK("https://www.britishcycling.org.uk/points?person_id=104952&amp;year=2024&amp;type=national&amp;d=6","Results")</f>
        <v/>
      </c>
    </row>
    <row r="202">
      <c r="A202" t="inlineStr">
        <is>
          <t>201</t>
        </is>
      </c>
      <c r="B202" t="inlineStr">
        <is>
          <t>Sharon Versteeg</t>
        </is>
      </c>
      <c r="C202" t="inlineStr">
        <is>
          <t>Hervelo Cycling</t>
        </is>
      </c>
      <c r="D202" t="inlineStr">
        <is>
          <t>34</t>
        </is>
      </c>
      <c r="E202" s="2">
        <f>HYPERLINK("https://www.britishcycling.org.uk/points?person_id=1132513&amp;year=2024&amp;type=national&amp;d=6","Results")</f>
        <v/>
      </c>
    </row>
    <row r="203">
      <c r="A203" t="inlineStr">
        <is>
          <t>202</t>
        </is>
      </c>
      <c r="B203" t="inlineStr">
        <is>
          <t>Alex Bevan</t>
        </is>
      </c>
      <c r="C203" t="inlineStr">
        <is>
          <t>Gannet CC</t>
        </is>
      </c>
      <c r="D203" t="inlineStr">
        <is>
          <t>33</t>
        </is>
      </c>
      <c r="E203" s="2">
        <f>HYPERLINK("https://www.britishcycling.org.uk/points?person_id=1042763&amp;year=2024&amp;type=national&amp;d=6","Results")</f>
        <v/>
      </c>
    </row>
    <row r="204">
      <c r="A204" t="inlineStr">
        <is>
          <t>203</t>
        </is>
      </c>
      <c r="B204" t="inlineStr">
        <is>
          <t>Zoe Bainbridge</t>
        </is>
      </c>
      <c r="C204" t="inlineStr">
        <is>
          <t>University of Bath Cycling Club</t>
        </is>
      </c>
      <c r="D204" t="inlineStr">
        <is>
          <t>32</t>
        </is>
      </c>
      <c r="E204" s="2">
        <f>HYPERLINK("https://www.britishcycling.org.uk/points?person_id=1133499&amp;year=2024&amp;type=national&amp;d=6","Results")</f>
        <v/>
      </c>
    </row>
    <row r="205">
      <c r="A205" t="inlineStr">
        <is>
          <t>204</t>
        </is>
      </c>
      <c r="B205" t="inlineStr">
        <is>
          <t>Daphne Jones</t>
        </is>
      </c>
      <c r="C205" t="inlineStr">
        <is>
          <t>RR23 - runandride.co.uk</t>
        </is>
      </c>
      <c r="D205" t="inlineStr">
        <is>
          <t>32</t>
        </is>
      </c>
      <c r="E205" s="2">
        <f>HYPERLINK("https://www.britishcycling.org.uk/points?person_id=385040&amp;year=2024&amp;type=national&amp;d=6","Results")</f>
        <v/>
      </c>
    </row>
    <row r="206">
      <c r="A206" t="inlineStr">
        <is>
          <t>205</t>
        </is>
      </c>
      <c r="B206" t="inlineStr">
        <is>
          <t>Carol Miller</t>
        </is>
      </c>
      <c r="C206" t="inlineStr">
        <is>
          <t>Abergavenny Road Club</t>
        </is>
      </c>
      <c r="D206" t="inlineStr">
        <is>
          <t>32</t>
        </is>
      </c>
      <c r="E206" s="2">
        <f>HYPERLINK("https://www.britishcycling.org.uk/points?person_id=9530&amp;year=2024&amp;type=national&amp;d=6","Results")</f>
        <v/>
      </c>
    </row>
    <row r="207">
      <c r="A207" t="inlineStr">
        <is>
          <t>206</t>
        </is>
      </c>
      <c r="B207" t="inlineStr">
        <is>
          <t>Alice Ferns</t>
        </is>
      </c>
      <c r="C207" t="inlineStr"/>
      <c r="D207" t="inlineStr">
        <is>
          <t>31</t>
        </is>
      </c>
      <c r="E207" s="2">
        <f>HYPERLINK("https://www.britishcycling.org.uk/points?person_id=1155681&amp;year=2024&amp;type=national&amp;d=6","Results")</f>
        <v/>
      </c>
    </row>
    <row r="208">
      <c r="A208" t="inlineStr">
        <is>
          <t>207</t>
        </is>
      </c>
      <c r="B208" t="inlineStr">
        <is>
          <t>Samantha Fawcett</t>
        </is>
      </c>
      <c r="C208" t="inlineStr">
        <is>
          <t>Spectra Racing p/b DAS</t>
        </is>
      </c>
      <c r="D208" t="inlineStr">
        <is>
          <t>30</t>
        </is>
      </c>
      <c r="E208" s="2">
        <f>HYPERLINK("https://www.britishcycling.org.uk/points?person_id=532289&amp;year=2024&amp;type=national&amp;d=6","Results")</f>
        <v/>
      </c>
    </row>
    <row r="209">
      <c r="A209" t="inlineStr">
        <is>
          <t>208</t>
        </is>
      </c>
      <c r="B209" t="inlineStr">
        <is>
          <t>Cat Ferguson</t>
        </is>
      </c>
      <c r="C209" t="inlineStr">
        <is>
          <t>Movistar Team</t>
        </is>
      </c>
      <c r="D209" t="inlineStr">
        <is>
          <t>30</t>
        </is>
      </c>
      <c r="E209" s="2">
        <f>HYPERLINK("https://www.britishcycling.org.uk/points?person_id=390279&amp;year=2024&amp;type=national&amp;d=6","Results")</f>
        <v/>
      </c>
    </row>
    <row r="210">
      <c r="A210" t="inlineStr">
        <is>
          <t>209</t>
        </is>
      </c>
      <c r="B210" t="inlineStr">
        <is>
          <t>Bethany-Ann Jackson</t>
        </is>
      </c>
      <c r="C210" t="inlineStr">
        <is>
          <t>Pine Sport</t>
        </is>
      </c>
      <c r="D210" t="inlineStr">
        <is>
          <t>30</t>
        </is>
      </c>
      <c r="E210" s="2">
        <f>HYPERLINK("https://www.britishcycling.org.uk/points?person_id=330995&amp;year=2024&amp;type=national&amp;d=6","Results")</f>
        <v/>
      </c>
    </row>
    <row r="211">
      <c r="A211" t="inlineStr">
        <is>
          <t>210</t>
        </is>
      </c>
      <c r="B211" t="inlineStr">
        <is>
          <t>Natalie Munro</t>
        </is>
      </c>
      <c r="C211" t="inlineStr">
        <is>
          <t>MGC RT</t>
        </is>
      </c>
      <c r="D211" t="inlineStr">
        <is>
          <t>30</t>
        </is>
      </c>
      <c r="E211" s="2">
        <f>HYPERLINK("https://www.britishcycling.org.uk/points?person_id=297330&amp;year=2024&amp;type=national&amp;d=6","Results")</f>
        <v/>
      </c>
    </row>
    <row r="212">
      <c r="A212" t="inlineStr">
        <is>
          <t>211</t>
        </is>
      </c>
      <c r="B212" t="inlineStr">
        <is>
          <t>Maddy Pope</t>
        </is>
      </c>
      <c r="C212" t="inlineStr">
        <is>
          <t>GreenlightPT</t>
        </is>
      </c>
      <c r="D212" t="inlineStr">
        <is>
          <t>30</t>
        </is>
      </c>
      <c r="E212" s="2">
        <f>HYPERLINK("https://www.britishcycling.org.uk/points?person_id=1024204&amp;year=2024&amp;type=national&amp;d=6","Results")</f>
        <v/>
      </c>
    </row>
    <row r="213">
      <c r="A213" t="inlineStr">
        <is>
          <t>212</t>
        </is>
      </c>
      <c r="B213" t="inlineStr">
        <is>
          <t>Nadine Reilly</t>
        </is>
      </c>
      <c r="C213" t="inlineStr">
        <is>
          <t>Trilogy CC</t>
        </is>
      </c>
      <c r="D213" t="inlineStr">
        <is>
          <t>30</t>
        </is>
      </c>
      <c r="E213" s="2">
        <f>HYPERLINK("https://www.britishcycling.org.uk/points?person_id=852770&amp;year=2024&amp;type=national&amp;d=6","Results")</f>
        <v/>
      </c>
    </row>
    <row r="214">
      <c r="A214" t="inlineStr">
        <is>
          <t>213</t>
        </is>
      </c>
      <c r="B214" t="inlineStr">
        <is>
          <t>Evie Richards</t>
        </is>
      </c>
      <c r="C214" t="inlineStr">
        <is>
          <t>Trek Factory Racing XC</t>
        </is>
      </c>
      <c r="D214" t="inlineStr">
        <is>
          <t>30</t>
        </is>
      </c>
      <c r="E214" s="2">
        <f>HYPERLINK("https://www.britishcycling.org.uk/points?person_id=168298&amp;year=2024&amp;type=national&amp;d=6","Results")</f>
        <v/>
      </c>
    </row>
    <row r="215">
      <c r="A215" t="inlineStr">
        <is>
          <t>214</t>
        </is>
      </c>
      <c r="B215" t="inlineStr">
        <is>
          <t>Emily Tillett</t>
        </is>
      </c>
      <c r="C215" t="inlineStr">
        <is>
          <t>Reflex Nopinz</t>
        </is>
      </c>
      <c r="D215" t="inlineStr">
        <is>
          <t>30</t>
        </is>
      </c>
      <c r="E215" s="2">
        <f>HYPERLINK("https://www.britishcycling.org.uk/points?person_id=63948&amp;year=2024&amp;type=national&amp;d=6","Results")</f>
        <v/>
      </c>
    </row>
    <row r="216">
      <c r="A216" t="inlineStr">
        <is>
          <t>215</t>
        </is>
      </c>
      <c r="B216" t="inlineStr">
        <is>
          <t>Heather Mayer</t>
        </is>
      </c>
      <c r="C216" t="inlineStr">
        <is>
          <t>Addiscombe CC</t>
        </is>
      </c>
      <c r="D216" t="inlineStr">
        <is>
          <t>29</t>
        </is>
      </c>
      <c r="E216" s="2">
        <f>HYPERLINK("https://www.britishcycling.org.uk/points?person_id=704233&amp;year=2024&amp;type=national&amp;d=6","Results")</f>
        <v/>
      </c>
    </row>
    <row r="217">
      <c r="A217" t="inlineStr">
        <is>
          <t>216</t>
        </is>
      </c>
      <c r="B217" t="inlineStr">
        <is>
          <t>Alice Eaton</t>
        </is>
      </c>
      <c r="C217" t="inlineStr">
        <is>
          <t>Hervelo Cycling</t>
        </is>
      </c>
      <c r="D217" t="inlineStr">
        <is>
          <t>28</t>
        </is>
      </c>
      <c r="E217" s="2">
        <f>HYPERLINK("https://www.britishcycling.org.uk/points?person_id=1090801&amp;year=2024&amp;type=national&amp;d=6","Results")</f>
        <v/>
      </c>
    </row>
    <row r="218">
      <c r="A218" t="inlineStr">
        <is>
          <t>217</t>
        </is>
      </c>
      <c r="B218" t="inlineStr">
        <is>
          <t>Lizzie Jewitt</t>
        </is>
      </c>
      <c r="C218" t="inlineStr">
        <is>
          <t>WestSide Coaching, 73 Degrees</t>
        </is>
      </c>
      <c r="D218" t="inlineStr">
        <is>
          <t>28</t>
        </is>
      </c>
      <c r="E218" s="2">
        <f>HYPERLINK("https://www.britishcycling.org.uk/points?person_id=844519&amp;year=2024&amp;type=national&amp;d=6","Results")</f>
        <v/>
      </c>
    </row>
    <row r="219">
      <c r="A219" t="inlineStr">
        <is>
          <t>218</t>
        </is>
      </c>
      <c r="B219" t="inlineStr">
        <is>
          <t>Evie Steed</t>
        </is>
      </c>
      <c r="C219" t="inlineStr">
        <is>
          <t>Sherwood Pines Cycles Forme</t>
        </is>
      </c>
      <c r="D219" t="inlineStr">
        <is>
          <t>28</t>
        </is>
      </c>
      <c r="E219" s="2">
        <f>HYPERLINK("https://www.britishcycling.org.uk/points?person_id=309238&amp;year=2024&amp;type=national&amp;d=6","Results")</f>
        <v/>
      </c>
    </row>
    <row r="220">
      <c r="A220" t="inlineStr">
        <is>
          <t>219</t>
        </is>
      </c>
      <c r="B220" t="inlineStr">
        <is>
          <t>Eilish Gilbert</t>
        </is>
      </c>
      <c r="C220" t="inlineStr">
        <is>
          <t>Saint Piran WRT</t>
        </is>
      </c>
      <c r="D220" t="inlineStr">
        <is>
          <t>27</t>
        </is>
      </c>
      <c r="E220" s="2">
        <f>HYPERLINK("https://www.britishcycling.org.uk/points?person_id=365574&amp;year=2024&amp;type=national&amp;d=6","Results")</f>
        <v/>
      </c>
    </row>
    <row r="221">
      <c r="A221" t="inlineStr">
        <is>
          <t>220</t>
        </is>
      </c>
      <c r="B221" t="inlineStr">
        <is>
          <t>Penny Guess</t>
        </is>
      </c>
      <c r="C221" t="inlineStr"/>
      <c r="D221" t="inlineStr">
        <is>
          <t>27</t>
        </is>
      </c>
      <c r="E221" s="2">
        <f>HYPERLINK("https://www.britishcycling.org.uk/points?person_id=942846&amp;year=2024&amp;type=national&amp;d=6","Results")</f>
        <v/>
      </c>
    </row>
    <row r="222">
      <c r="A222" t="inlineStr">
        <is>
          <t>221</t>
        </is>
      </c>
      <c r="B222" t="inlineStr">
        <is>
          <t>Sharon Spicer</t>
        </is>
      </c>
      <c r="C222" t="inlineStr">
        <is>
          <t>Preston Park Youth CC (PPYCC)</t>
        </is>
      </c>
      <c r="D222" t="inlineStr">
        <is>
          <t>27</t>
        </is>
      </c>
      <c r="E222" s="2">
        <f>HYPERLINK("https://www.britishcycling.org.uk/points?person_id=1060049&amp;year=2024&amp;type=national&amp;d=6","Results")</f>
        <v/>
      </c>
    </row>
    <row r="223">
      <c r="A223" t="inlineStr">
        <is>
          <t>222</t>
        </is>
      </c>
      <c r="B223" t="inlineStr">
        <is>
          <t>Ruby Carleton</t>
        </is>
      </c>
      <c r="C223" t="inlineStr">
        <is>
          <t>Loughborough Students CC</t>
        </is>
      </c>
      <c r="D223" t="inlineStr">
        <is>
          <t>26</t>
        </is>
      </c>
      <c r="E223" s="2">
        <f>HYPERLINK("https://www.britishcycling.org.uk/points?person_id=789763&amp;year=2024&amp;type=national&amp;d=6","Results")</f>
        <v/>
      </c>
    </row>
    <row r="224">
      <c r="A224" t="inlineStr">
        <is>
          <t>223</t>
        </is>
      </c>
      <c r="B224" t="inlineStr">
        <is>
          <t>Joanne Clay</t>
        </is>
      </c>
      <c r="C224" t="inlineStr">
        <is>
          <t>MagCAD Designs</t>
        </is>
      </c>
      <c r="D224" t="inlineStr">
        <is>
          <t>26</t>
        </is>
      </c>
      <c r="E224" s="2">
        <f>HYPERLINK("https://www.britishcycling.org.uk/points?person_id=130758&amp;year=2024&amp;type=national&amp;d=6","Results")</f>
        <v/>
      </c>
    </row>
    <row r="225">
      <c r="A225" t="inlineStr">
        <is>
          <t>224</t>
        </is>
      </c>
      <c r="B225" t="inlineStr">
        <is>
          <t>Nancy Fry</t>
        </is>
      </c>
      <c r="C225" t="inlineStr">
        <is>
          <t>Femme Fidem Cycling Club</t>
        </is>
      </c>
      <c r="D225" t="inlineStr">
        <is>
          <t>26</t>
        </is>
      </c>
      <c r="E225" s="2">
        <f>HYPERLINK("https://www.britishcycling.org.uk/points?person_id=282879&amp;year=2024&amp;type=national&amp;d=6","Results")</f>
        <v/>
      </c>
    </row>
    <row r="226">
      <c r="A226" t="inlineStr">
        <is>
          <t>225</t>
        </is>
      </c>
      <c r="B226" t="inlineStr">
        <is>
          <t>Isla Glossop</t>
        </is>
      </c>
      <c r="C226" t="inlineStr">
        <is>
          <t>Bolton Hot Wheels CC</t>
        </is>
      </c>
      <c r="D226" t="inlineStr">
        <is>
          <t>26</t>
        </is>
      </c>
      <c r="E226" s="2">
        <f>HYPERLINK("https://www.britishcycling.org.uk/points?person_id=411793&amp;year=2024&amp;type=national&amp;d=6","Results")</f>
        <v/>
      </c>
    </row>
    <row r="227">
      <c r="A227" t="inlineStr">
        <is>
          <t>226</t>
        </is>
      </c>
      <c r="B227" t="inlineStr">
        <is>
          <t>Louisa Bryant</t>
        </is>
      </c>
      <c r="C227" t="inlineStr">
        <is>
          <t>Southborough &amp; District Whls</t>
        </is>
      </c>
      <c r="D227" t="inlineStr">
        <is>
          <t>25</t>
        </is>
      </c>
      <c r="E227" s="2">
        <f>HYPERLINK("https://www.britishcycling.org.uk/points?person_id=1056784&amp;year=2024&amp;type=national&amp;d=6","Results")</f>
        <v/>
      </c>
    </row>
    <row r="228">
      <c r="A228" t="inlineStr">
        <is>
          <t>227</t>
        </is>
      </c>
      <c r="B228" t="inlineStr">
        <is>
          <t>Wendy Mathie</t>
        </is>
      </c>
      <c r="C228" t="inlineStr">
        <is>
          <t>Penge Cycle Club</t>
        </is>
      </c>
      <c r="D228" t="inlineStr">
        <is>
          <t>25</t>
        </is>
      </c>
      <c r="E228" s="2">
        <f>HYPERLINK("https://www.britishcycling.org.uk/points?person_id=944357&amp;year=2024&amp;type=national&amp;d=6","Results")</f>
        <v/>
      </c>
    </row>
    <row r="229">
      <c r="A229" t="inlineStr">
        <is>
          <t>228</t>
        </is>
      </c>
      <c r="B229" t="inlineStr">
        <is>
          <t>Vicky Percival</t>
        </is>
      </c>
      <c r="C229" t="inlineStr"/>
      <c r="D229" t="inlineStr">
        <is>
          <t>25</t>
        </is>
      </c>
      <c r="E229" s="2">
        <f>HYPERLINK("https://www.britishcycling.org.uk/points?person_id=534434&amp;year=2024&amp;type=national&amp;d=6","Results")</f>
        <v/>
      </c>
    </row>
    <row r="230">
      <c r="A230" t="inlineStr">
        <is>
          <t>229</t>
        </is>
      </c>
      <c r="B230" t="inlineStr">
        <is>
          <t>Lauren Creamer</t>
        </is>
      </c>
      <c r="C230" t="inlineStr">
        <is>
          <t>Velo Fixers</t>
        </is>
      </c>
      <c r="D230" t="inlineStr">
        <is>
          <t>24</t>
        </is>
      </c>
      <c r="E230" s="2">
        <f>HYPERLINK("https://www.britishcycling.org.uk/points?person_id=12526&amp;year=2024&amp;type=national&amp;d=6","Results")</f>
        <v/>
      </c>
    </row>
    <row r="231">
      <c r="A231" t="inlineStr">
        <is>
          <t>230</t>
        </is>
      </c>
      <c r="B231" t="inlineStr">
        <is>
          <t>Harriette Taylor</t>
        </is>
      </c>
      <c r="C231" t="inlineStr">
        <is>
          <t>Xcomtb.com Race Team</t>
        </is>
      </c>
      <c r="D231" t="inlineStr">
        <is>
          <t>24</t>
        </is>
      </c>
      <c r="E231" s="2">
        <f>HYPERLINK("https://www.britishcycling.org.uk/points?person_id=669204&amp;year=2024&amp;type=national&amp;d=6","Results")</f>
        <v/>
      </c>
    </row>
    <row r="232">
      <c r="A232" t="inlineStr">
        <is>
          <t>231</t>
        </is>
      </c>
      <c r="B232" t="inlineStr">
        <is>
          <t>Danielle Petersmann</t>
        </is>
      </c>
      <c r="C232" t="inlineStr">
        <is>
          <t>VC Deal</t>
        </is>
      </c>
      <c r="D232" t="inlineStr">
        <is>
          <t>23</t>
        </is>
      </c>
      <c r="E232" s="2">
        <f>HYPERLINK("https://www.britishcycling.org.uk/points?person_id=319198&amp;year=2024&amp;type=national&amp;d=6","Results")</f>
        <v/>
      </c>
    </row>
    <row r="233">
      <c r="A233" t="inlineStr">
        <is>
          <t>232</t>
        </is>
      </c>
      <c r="B233" t="inlineStr">
        <is>
          <t>Alison Bagnall</t>
        </is>
      </c>
      <c r="C233" t="inlineStr">
        <is>
          <t>ROTOR Race Team</t>
        </is>
      </c>
      <c r="D233" t="inlineStr">
        <is>
          <t>22</t>
        </is>
      </c>
      <c r="E233" s="2">
        <f>HYPERLINK("https://www.britishcycling.org.uk/points?person_id=540393&amp;year=2024&amp;type=national&amp;d=6","Results")</f>
        <v/>
      </c>
    </row>
    <row r="234">
      <c r="A234" t="inlineStr">
        <is>
          <t>233</t>
        </is>
      </c>
      <c r="B234" t="inlineStr">
        <is>
          <t>Izzy Filor</t>
        </is>
      </c>
      <c r="C234" t="inlineStr"/>
      <c r="D234" t="inlineStr">
        <is>
          <t>22</t>
        </is>
      </c>
      <c r="E234" s="2">
        <f>HYPERLINK("https://www.britishcycling.org.uk/points?person_id=960592&amp;year=2024&amp;type=national&amp;d=6","Results")</f>
        <v/>
      </c>
    </row>
    <row r="235">
      <c r="A235" t="inlineStr">
        <is>
          <t>234</t>
        </is>
      </c>
      <c r="B235" t="inlineStr">
        <is>
          <t>Catherine Hughes</t>
        </is>
      </c>
      <c r="C235" t="inlineStr">
        <is>
          <t>Ilkeston Cycle Club</t>
        </is>
      </c>
      <c r="D235" t="inlineStr">
        <is>
          <t>22</t>
        </is>
      </c>
      <c r="E235" s="2">
        <f>HYPERLINK("https://www.britishcycling.org.uk/points?person_id=478788&amp;year=2024&amp;type=national&amp;d=6","Results")</f>
        <v/>
      </c>
    </row>
    <row r="236">
      <c r="A236" t="inlineStr">
        <is>
          <t>235</t>
        </is>
      </c>
      <c r="B236" t="inlineStr">
        <is>
          <t>Lauren Johnston</t>
        </is>
      </c>
      <c r="C236" t="inlineStr">
        <is>
          <t>Hervelo Cycling</t>
        </is>
      </c>
      <c r="D236" t="inlineStr">
        <is>
          <t>22</t>
        </is>
      </c>
      <c r="E236" s="2">
        <f>HYPERLINK("https://www.britishcycling.org.uk/points?person_id=731761&amp;year=2024&amp;type=national&amp;d=6","Results")</f>
        <v/>
      </c>
    </row>
    <row r="237">
      <c r="A237" t="inlineStr">
        <is>
          <t>236</t>
        </is>
      </c>
      <c r="B237" t="inlineStr">
        <is>
          <t>Electra Morris</t>
        </is>
      </c>
      <c r="C237" t="inlineStr">
        <is>
          <t>Brother UK - On Form</t>
        </is>
      </c>
      <c r="D237" t="inlineStr">
        <is>
          <t>22</t>
        </is>
      </c>
      <c r="E237" s="2">
        <f>HYPERLINK("https://www.britishcycling.org.uk/points?person_id=194434&amp;year=2024&amp;type=national&amp;d=6","Results")</f>
        <v/>
      </c>
    </row>
    <row r="238">
      <c r="A238" t="inlineStr">
        <is>
          <t>237</t>
        </is>
      </c>
      <c r="B238" t="inlineStr">
        <is>
          <t>Charlotte Wilson</t>
        </is>
      </c>
      <c r="C238" t="inlineStr">
        <is>
          <t>Reading CC</t>
        </is>
      </c>
      <c r="D238" t="inlineStr">
        <is>
          <t>22</t>
        </is>
      </c>
      <c r="E238" s="2">
        <f>HYPERLINK("https://www.britishcycling.org.uk/points?person_id=1137391&amp;year=2024&amp;type=national&amp;d=6","Results")</f>
        <v/>
      </c>
    </row>
    <row r="239">
      <c r="A239" t="inlineStr">
        <is>
          <t>238</t>
        </is>
      </c>
      <c r="B239" t="inlineStr">
        <is>
          <t>Hannah Schneider</t>
        </is>
      </c>
      <c r="C239" t="inlineStr">
        <is>
          <t>LDN - WMN</t>
        </is>
      </c>
      <c r="D239" t="inlineStr">
        <is>
          <t>21</t>
        </is>
      </c>
      <c r="E239" s="2">
        <f>HYPERLINK("https://www.britishcycling.org.uk/points?person_id=211247&amp;year=2024&amp;type=national&amp;d=6","Results")</f>
        <v/>
      </c>
    </row>
    <row r="240">
      <c r="A240" t="inlineStr">
        <is>
          <t>239</t>
        </is>
      </c>
      <c r="B240" t="inlineStr">
        <is>
          <t>Ailsa Curtis</t>
        </is>
      </c>
      <c r="C240" t="inlineStr">
        <is>
          <t>West Lothian Clarion CC</t>
        </is>
      </c>
      <c r="D240" t="inlineStr">
        <is>
          <t>20</t>
        </is>
      </c>
      <c r="E240" s="2">
        <f>HYPERLINK("https://www.britishcycling.org.uk/points?person_id=75525&amp;year=2024&amp;type=national&amp;d=6","Results")</f>
        <v/>
      </c>
    </row>
    <row r="241">
      <c r="A241" t="inlineStr">
        <is>
          <t>240</t>
        </is>
      </c>
      <c r="B241" t="inlineStr">
        <is>
          <t>Claire Evans</t>
        </is>
      </c>
      <c r="C241" t="inlineStr">
        <is>
          <t>Sprockets Cycle Club</t>
        </is>
      </c>
      <c r="D241" t="inlineStr">
        <is>
          <t>20</t>
        </is>
      </c>
      <c r="E241" s="2">
        <f>HYPERLINK("https://www.britishcycling.org.uk/points?person_id=696282&amp;year=2024&amp;type=national&amp;d=6","Results")</f>
        <v/>
      </c>
    </row>
    <row r="242">
      <c r="A242" t="inlineStr">
        <is>
          <t>241</t>
        </is>
      </c>
      <c r="B242" t="inlineStr">
        <is>
          <t>Lydia Gould</t>
        </is>
      </c>
      <c r="C242" t="inlineStr">
        <is>
          <t>Velo Club Venta</t>
        </is>
      </c>
      <c r="D242" t="inlineStr">
        <is>
          <t>20</t>
        </is>
      </c>
      <c r="E242" s="2">
        <f>HYPERLINK("https://www.britishcycling.org.uk/points?person_id=25383&amp;year=2024&amp;type=national&amp;d=6","Results")</f>
        <v/>
      </c>
    </row>
    <row r="243">
      <c r="A243" t="inlineStr">
        <is>
          <t>242</t>
        </is>
      </c>
      <c r="B243" t="inlineStr">
        <is>
          <t>Louise Hart</t>
        </is>
      </c>
      <c r="C243" t="inlineStr">
        <is>
          <t>Royal Dean Forest CC</t>
        </is>
      </c>
      <c r="D243" t="inlineStr">
        <is>
          <t>20</t>
        </is>
      </c>
      <c r="E243" s="2">
        <f>HYPERLINK("https://www.britishcycling.org.uk/points?person_id=194256&amp;year=2024&amp;type=national&amp;d=6","Results")</f>
        <v/>
      </c>
    </row>
    <row r="244">
      <c r="A244" t="inlineStr">
        <is>
          <t>243</t>
        </is>
      </c>
      <c r="B244" t="inlineStr">
        <is>
          <t>Jo Pope</t>
        </is>
      </c>
      <c r="C244" t="inlineStr"/>
      <c r="D244" t="inlineStr">
        <is>
          <t>20</t>
        </is>
      </c>
      <c r="E244" s="2">
        <f>HYPERLINK("https://www.britishcycling.org.uk/points?person_id=896039&amp;year=2024&amp;type=national&amp;d=6","Results")</f>
        <v/>
      </c>
    </row>
    <row r="245">
      <c r="A245" t="inlineStr">
        <is>
          <t>244</t>
        </is>
      </c>
      <c r="B245" t="inlineStr">
        <is>
          <t>Sophie Tolhurst</t>
        </is>
      </c>
      <c r="C245" t="inlineStr">
        <is>
          <t>7 Hills Cycling Club</t>
        </is>
      </c>
      <c r="D245" t="inlineStr">
        <is>
          <t>20</t>
        </is>
      </c>
      <c r="E245" s="2">
        <f>HYPERLINK("https://www.britishcycling.org.uk/points?person_id=981629&amp;year=2024&amp;type=national&amp;d=6","Results")</f>
        <v/>
      </c>
    </row>
    <row r="246">
      <c r="A246" t="inlineStr">
        <is>
          <t>245</t>
        </is>
      </c>
      <c r="B246" t="inlineStr">
        <is>
          <t>Karen Tostee</t>
        </is>
      </c>
      <c r="C246" t="inlineStr">
        <is>
          <t>York Rouleurs</t>
        </is>
      </c>
      <c r="D246" t="inlineStr">
        <is>
          <t>20</t>
        </is>
      </c>
      <c r="E246" s="2">
        <f>HYPERLINK("https://www.britishcycling.org.uk/points?person_id=681414&amp;year=2024&amp;type=national&amp;d=6","Results")</f>
        <v/>
      </c>
    </row>
    <row r="247">
      <c r="A247" t="inlineStr">
        <is>
          <t>246</t>
        </is>
      </c>
      <c r="B247" t="inlineStr">
        <is>
          <t>Mel Wardle</t>
        </is>
      </c>
      <c r="C247" t="inlineStr">
        <is>
          <t>Allen Valley Velo</t>
        </is>
      </c>
      <c r="D247" t="inlineStr">
        <is>
          <t>20</t>
        </is>
      </c>
      <c r="E247" s="2">
        <f>HYPERLINK("https://www.britishcycling.org.uk/points?person_id=1014774&amp;year=2024&amp;type=national&amp;d=6","Results")</f>
        <v/>
      </c>
    </row>
    <row r="248">
      <c r="A248" t="inlineStr">
        <is>
          <t>247</t>
        </is>
      </c>
      <c r="B248" t="inlineStr">
        <is>
          <t>Rachel Collins</t>
        </is>
      </c>
      <c r="C248" t="inlineStr">
        <is>
          <t>PDQ Cycle Coaching Property Elite</t>
        </is>
      </c>
      <c r="D248" t="inlineStr">
        <is>
          <t>18</t>
        </is>
      </c>
      <c r="E248" s="2">
        <f>HYPERLINK("https://www.britishcycling.org.uk/points?person_id=1125348&amp;year=2024&amp;type=national&amp;d=6","Results")</f>
        <v/>
      </c>
    </row>
    <row r="249">
      <c r="A249" t="inlineStr">
        <is>
          <t>248</t>
        </is>
      </c>
      <c r="B249" t="inlineStr">
        <is>
          <t>Julie Hughes</t>
        </is>
      </c>
      <c r="C249" t="inlineStr">
        <is>
          <t>North Hampshire RC</t>
        </is>
      </c>
      <c r="D249" t="inlineStr">
        <is>
          <t>18</t>
        </is>
      </c>
      <c r="E249" s="2">
        <f>HYPERLINK("https://www.britishcycling.org.uk/points?person_id=1002092&amp;year=2024&amp;type=national&amp;d=6","Results")</f>
        <v/>
      </c>
    </row>
    <row r="250">
      <c r="A250" t="inlineStr">
        <is>
          <t>249</t>
        </is>
      </c>
      <c r="B250" t="inlineStr">
        <is>
          <t>Amy Moore</t>
        </is>
      </c>
      <c r="C250" t="inlineStr">
        <is>
          <t>FTP Fusion</t>
        </is>
      </c>
      <c r="D250" t="inlineStr">
        <is>
          <t>18</t>
        </is>
      </c>
      <c r="E250" s="2">
        <f>HYPERLINK("https://www.britishcycling.org.uk/points?person_id=961447&amp;year=2024&amp;type=national&amp;d=6","Results")</f>
        <v/>
      </c>
    </row>
    <row r="251">
      <c r="A251" t="inlineStr">
        <is>
          <t>250</t>
        </is>
      </c>
      <c r="B251" t="inlineStr">
        <is>
          <t>Clare Parkin</t>
        </is>
      </c>
      <c r="C251" t="inlineStr">
        <is>
          <t>FTP-Fulfil The Potential-Racing</t>
        </is>
      </c>
      <c r="D251" t="inlineStr">
        <is>
          <t>18</t>
        </is>
      </c>
      <c r="E251" s="2">
        <f>HYPERLINK("https://www.britishcycling.org.uk/points?person_id=425837&amp;year=2024&amp;type=national&amp;d=6","Results")</f>
        <v/>
      </c>
    </row>
    <row r="252">
      <c r="A252" t="inlineStr">
        <is>
          <t>251</t>
        </is>
      </c>
      <c r="B252" t="inlineStr">
        <is>
          <t>Hermione Harrison</t>
        </is>
      </c>
      <c r="C252" t="inlineStr">
        <is>
          <t>Cowley Road Condors</t>
        </is>
      </c>
      <c r="D252" t="inlineStr">
        <is>
          <t>17</t>
        </is>
      </c>
      <c r="E252" s="2">
        <f>HYPERLINK("https://www.britishcycling.org.uk/points?person_id=617985&amp;year=2024&amp;type=national&amp;d=6","Results")</f>
        <v/>
      </c>
    </row>
    <row r="253">
      <c r="A253" t="inlineStr">
        <is>
          <t>252</t>
        </is>
      </c>
      <c r="B253" t="inlineStr">
        <is>
          <t>Rachael Connall</t>
        </is>
      </c>
      <c r="C253" t="inlineStr">
        <is>
          <t>Velobants.cc</t>
        </is>
      </c>
      <c r="D253" t="inlineStr">
        <is>
          <t>16</t>
        </is>
      </c>
      <c r="E253" s="2">
        <f>HYPERLINK("https://www.britishcycling.org.uk/points?person_id=737066&amp;year=2024&amp;type=national&amp;d=6","Results")</f>
        <v/>
      </c>
    </row>
    <row r="254">
      <c r="A254" t="inlineStr">
        <is>
          <t>253</t>
        </is>
      </c>
      <c r="B254" t="inlineStr">
        <is>
          <t>Cecilia Hime</t>
        </is>
      </c>
      <c r="C254" t="inlineStr">
        <is>
          <t>Paradigm Cycles</t>
        </is>
      </c>
      <c r="D254" t="inlineStr">
        <is>
          <t>16</t>
        </is>
      </c>
      <c r="E254" s="2">
        <f>HYPERLINK("https://www.britishcycling.org.uk/points?person_id=263034&amp;year=2024&amp;type=national&amp;d=6","Results")</f>
        <v/>
      </c>
    </row>
    <row r="255">
      <c r="A255" t="inlineStr">
        <is>
          <t>254</t>
        </is>
      </c>
      <c r="B255" t="inlineStr">
        <is>
          <t>Maggie McPhillips</t>
        </is>
      </c>
      <c r="C255" t="inlineStr">
        <is>
          <t>Stockport Clarion CC</t>
        </is>
      </c>
      <c r="D255" t="inlineStr">
        <is>
          <t>16</t>
        </is>
      </c>
      <c r="E255" s="2">
        <f>HYPERLINK("https://www.britishcycling.org.uk/points?person_id=543783&amp;year=2024&amp;type=national&amp;d=6","Results")</f>
        <v/>
      </c>
    </row>
    <row r="256">
      <c r="A256" t="inlineStr">
        <is>
          <t>255</t>
        </is>
      </c>
      <c r="B256" t="inlineStr">
        <is>
          <t>Vicki Woodburn</t>
        </is>
      </c>
      <c r="C256" t="inlineStr">
        <is>
          <t>Team Andrew Allan Architecture</t>
        </is>
      </c>
      <c r="D256" t="inlineStr">
        <is>
          <t>16</t>
        </is>
      </c>
      <c r="E256" s="2">
        <f>HYPERLINK("https://www.britishcycling.org.uk/points?person_id=736992&amp;year=2024&amp;type=national&amp;d=6","Results")</f>
        <v/>
      </c>
    </row>
    <row r="257">
      <c r="A257" t="inlineStr">
        <is>
          <t>256</t>
        </is>
      </c>
      <c r="B257" t="inlineStr">
        <is>
          <t>Rebecca Parish</t>
        </is>
      </c>
      <c r="C257" t="inlineStr">
        <is>
          <t>Ilkeston Cycle Club</t>
        </is>
      </c>
      <c r="D257" t="inlineStr">
        <is>
          <t>15</t>
        </is>
      </c>
      <c r="E257" s="2">
        <f>HYPERLINK("https://www.britishcycling.org.uk/points?person_id=1026847&amp;year=2024&amp;type=national&amp;d=6","Results")</f>
        <v/>
      </c>
    </row>
    <row r="258">
      <c r="A258" t="inlineStr">
        <is>
          <t>257</t>
        </is>
      </c>
      <c r="B258" t="inlineStr">
        <is>
          <t>Miranda Clements</t>
        </is>
      </c>
      <c r="C258" t="inlineStr">
        <is>
          <t>FTP Fusion</t>
        </is>
      </c>
      <c r="D258" t="inlineStr">
        <is>
          <t>14</t>
        </is>
      </c>
      <c r="E258" s="2">
        <f>HYPERLINK("https://www.britishcycling.org.uk/points?person_id=1088725&amp;year=2024&amp;type=national&amp;d=6","Results")</f>
        <v/>
      </c>
    </row>
    <row r="259">
      <c r="A259" t="inlineStr">
        <is>
          <t>258</t>
        </is>
      </c>
      <c r="B259" t="inlineStr">
        <is>
          <t>Marta Cooper</t>
        </is>
      </c>
      <c r="C259" t="inlineStr">
        <is>
          <t>Brixton Cycles Club</t>
        </is>
      </c>
      <c r="D259" t="inlineStr">
        <is>
          <t>14</t>
        </is>
      </c>
      <c r="E259" s="2">
        <f>HYPERLINK("https://www.britishcycling.org.uk/points?person_id=774082&amp;year=2024&amp;type=national&amp;d=6","Results")</f>
        <v/>
      </c>
    </row>
    <row r="260">
      <c r="A260" t="inlineStr">
        <is>
          <t>259</t>
        </is>
      </c>
      <c r="B260" t="inlineStr">
        <is>
          <t>Marianne Heffron</t>
        </is>
      </c>
      <c r="C260" t="inlineStr">
        <is>
          <t>Grity Race Team</t>
        </is>
      </c>
      <c r="D260" t="inlineStr">
        <is>
          <t>14</t>
        </is>
      </c>
      <c r="E260" s="2">
        <f>HYPERLINK("https://www.britishcycling.org.uk/points?person_id=175528&amp;year=2024&amp;type=national&amp;d=6","Results")</f>
        <v/>
      </c>
    </row>
    <row r="261">
      <c r="A261" t="inlineStr">
        <is>
          <t>260</t>
        </is>
      </c>
      <c r="B261" t="inlineStr">
        <is>
          <t>Sarah Kelman</t>
        </is>
      </c>
      <c r="C261" t="inlineStr">
        <is>
          <t>Solihull CC</t>
        </is>
      </c>
      <c r="D261" t="inlineStr">
        <is>
          <t>13</t>
        </is>
      </c>
      <c r="E261" s="2">
        <f>HYPERLINK("https://www.britishcycling.org.uk/points?person_id=661074&amp;year=2024&amp;type=national&amp;d=6","Results")</f>
        <v/>
      </c>
    </row>
    <row r="262">
      <c r="A262" t="inlineStr">
        <is>
          <t>261</t>
        </is>
      </c>
      <c r="B262" t="inlineStr">
        <is>
          <t>Philippa Jenkins</t>
        </is>
      </c>
      <c r="C262" t="inlineStr">
        <is>
          <t>Southborough &amp; District Whls</t>
        </is>
      </c>
      <c r="D262" t="inlineStr">
        <is>
          <t>12</t>
        </is>
      </c>
      <c r="E262" s="2">
        <f>HYPERLINK("https://www.britishcycling.org.uk/points?person_id=320215&amp;year=2024&amp;type=national&amp;d=6","Results")</f>
        <v/>
      </c>
    </row>
    <row r="263">
      <c r="A263" t="inlineStr">
        <is>
          <t>262</t>
        </is>
      </c>
      <c r="B263" t="inlineStr">
        <is>
          <t>Tamala McGee</t>
        </is>
      </c>
      <c r="C263" t="inlineStr">
        <is>
          <t>ASSOS UK Racing Team</t>
        </is>
      </c>
      <c r="D263" t="inlineStr">
        <is>
          <t>12</t>
        </is>
      </c>
      <c r="E263" s="2">
        <f>HYPERLINK("https://www.britishcycling.org.uk/points?person_id=195900&amp;year=2024&amp;type=national&amp;d=6","Results")</f>
        <v/>
      </c>
    </row>
    <row r="264">
      <c r="A264" t="inlineStr">
        <is>
          <t>263</t>
        </is>
      </c>
      <c r="B264" t="inlineStr">
        <is>
          <t>Marie Meldrum</t>
        </is>
      </c>
      <c r="C264" t="inlineStr">
        <is>
          <t>Nevis Cycles Racing Team</t>
        </is>
      </c>
      <c r="D264" t="inlineStr">
        <is>
          <t>12</t>
        </is>
      </c>
      <c r="E264" s="2">
        <f>HYPERLINK("https://www.britishcycling.org.uk/points?person_id=266383&amp;year=2024&amp;type=national&amp;d=6","Results")</f>
        <v/>
      </c>
    </row>
    <row r="265">
      <c r="A265" t="inlineStr">
        <is>
          <t>264</t>
        </is>
      </c>
      <c r="B265" t="inlineStr">
        <is>
          <t>Laura Watson</t>
        </is>
      </c>
      <c r="C265" t="inlineStr">
        <is>
          <t>Velo Fixers</t>
        </is>
      </c>
      <c r="D265" t="inlineStr">
        <is>
          <t>12</t>
        </is>
      </c>
      <c r="E265" s="2">
        <f>HYPERLINK("https://www.britishcycling.org.uk/points?person_id=19100&amp;year=2024&amp;type=national&amp;d=6","Results")</f>
        <v/>
      </c>
    </row>
    <row r="266">
      <c r="A266" t="inlineStr">
        <is>
          <t>265</t>
        </is>
      </c>
      <c r="B266" t="inlineStr">
        <is>
          <t>Freya Shepherd</t>
        </is>
      </c>
      <c r="C266" t="inlineStr">
        <is>
          <t>Moray Firth Cycling Club</t>
        </is>
      </c>
      <c r="D266" t="inlineStr">
        <is>
          <t>11</t>
        </is>
      </c>
      <c r="E266" s="2">
        <f>HYPERLINK("https://www.britishcycling.org.uk/points?person_id=1151967&amp;year=2024&amp;type=national&amp;d=6","Results")</f>
        <v/>
      </c>
    </row>
    <row r="267">
      <c r="A267" t="inlineStr">
        <is>
          <t>266</t>
        </is>
      </c>
      <c r="B267" t="inlineStr">
        <is>
          <t>Rebecca Babbage</t>
        </is>
      </c>
      <c r="C267" t="inlineStr">
        <is>
          <t>Team Boompods</t>
        </is>
      </c>
      <c r="D267" t="inlineStr">
        <is>
          <t>10</t>
        </is>
      </c>
      <c r="E267" s="2">
        <f>HYPERLINK("https://www.britishcycling.org.uk/points?person_id=986510&amp;year=2024&amp;type=national&amp;d=6","Results")</f>
        <v/>
      </c>
    </row>
    <row r="268">
      <c r="A268" t="inlineStr">
        <is>
          <t>267</t>
        </is>
      </c>
      <c r="B268" t="inlineStr">
        <is>
          <t>Libby Harman</t>
        </is>
      </c>
      <c r="C268" t="inlineStr">
        <is>
          <t>AMPED E-MOTION CYCLES</t>
        </is>
      </c>
      <c r="D268" t="inlineStr">
        <is>
          <t>10</t>
        </is>
      </c>
      <c r="E268" s="2">
        <f>HYPERLINK("https://www.britishcycling.org.uk/points?person_id=770063&amp;year=2024&amp;type=national&amp;d=6","Results")</f>
        <v/>
      </c>
    </row>
    <row r="269">
      <c r="A269" t="inlineStr">
        <is>
          <t>268</t>
        </is>
      </c>
      <c r="B269" t="inlineStr">
        <is>
          <t>Karen Jones</t>
        </is>
      </c>
      <c r="C269" t="inlineStr">
        <is>
          <t>Holyhead Cycling Club</t>
        </is>
      </c>
      <c r="D269" t="inlineStr">
        <is>
          <t>10</t>
        </is>
      </c>
      <c r="E269" s="2">
        <f>HYPERLINK("https://www.britishcycling.org.uk/points?person_id=944489&amp;year=2024&amp;type=national&amp;d=6","Results")</f>
        <v/>
      </c>
    </row>
    <row r="270">
      <c r="A270" t="inlineStr">
        <is>
          <t>269</t>
        </is>
      </c>
      <c r="B270" t="inlineStr">
        <is>
          <t>Myfanwy Meeran</t>
        </is>
      </c>
      <c r="C270" t="inlineStr">
        <is>
          <t>Dulwich Paragon CC</t>
        </is>
      </c>
      <c r="D270" t="inlineStr">
        <is>
          <t>10</t>
        </is>
      </c>
      <c r="E270" s="2">
        <f>HYPERLINK("https://www.britishcycling.org.uk/points?person_id=589929&amp;year=2024&amp;type=national&amp;d=6","Results")</f>
        <v/>
      </c>
    </row>
    <row r="271">
      <c r="A271" t="inlineStr">
        <is>
          <t>270</t>
        </is>
      </c>
      <c r="B271" t="inlineStr">
        <is>
          <t>Joanne Newstead</t>
        </is>
      </c>
      <c r="C271" t="inlineStr">
        <is>
          <t>XRT - Elmy Cycles</t>
        </is>
      </c>
      <c r="D271" t="inlineStr">
        <is>
          <t>10</t>
        </is>
      </c>
      <c r="E271" s="2">
        <f>HYPERLINK("https://www.britishcycling.org.uk/points?person_id=13888&amp;year=2024&amp;type=national&amp;d=6","Results")</f>
        <v/>
      </c>
    </row>
    <row r="272">
      <c r="A272" t="inlineStr">
        <is>
          <t>271</t>
        </is>
      </c>
      <c r="B272" t="inlineStr">
        <is>
          <t>Fiona Ableson Bradshaw</t>
        </is>
      </c>
      <c r="C272" t="inlineStr">
        <is>
          <t>1st Chard Whls</t>
        </is>
      </c>
      <c r="D272" t="inlineStr">
        <is>
          <t>9</t>
        </is>
      </c>
      <c r="E272" s="2">
        <f>HYPERLINK("https://www.britishcycling.org.uk/points?person_id=1157834&amp;year=2024&amp;type=national&amp;d=6","Results")</f>
        <v/>
      </c>
    </row>
    <row r="273">
      <c r="A273" t="inlineStr">
        <is>
          <t>272</t>
        </is>
      </c>
      <c r="B273" t="inlineStr">
        <is>
          <t>Skye Ballance</t>
        </is>
      </c>
      <c r="C273" t="inlineStr">
        <is>
          <t>Glasgow University Cycling Club</t>
        </is>
      </c>
      <c r="D273" t="inlineStr">
        <is>
          <t>9</t>
        </is>
      </c>
      <c r="E273" s="2">
        <f>HYPERLINK("https://www.britishcycling.org.uk/points?person_id=1133173&amp;year=2024&amp;type=national&amp;d=6","Results")</f>
        <v/>
      </c>
    </row>
    <row r="274">
      <c r="A274" t="inlineStr">
        <is>
          <t>273</t>
        </is>
      </c>
      <c r="B274" t="inlineStr">
        <is>
          <t>Aileigh Easton</t>
        </is>
      </c>
      <c r="C274" t="inlineStr">
        <is>
          <t>Kinross CC</t>
        </is>
      </c>
      <c r="D274" t="inlineStr">
        <is>
          <t>9</t>
        </is>
      </c>
      <c r="E274" s="2">
        <f>HYPERLINK("https://www.britishcycling.org.uk/points?person_id=558854&amp;year=2024&amp;type=national&amp;d=6","Results")</f>
        <v/>
      </c>
    </row>
    <row r="275">
      <c r="A275" t="inlineStr">
        <is>
          <t>274</t>
        </is>
      </c>
      <c r="B275" t="inlineStr">
        <is>
          <t>Isabel Wallace</t>
        </is>
      </c>
      <c r="C275" t="inlineStr">
        <is>
          <t>Lee Velo (South East London)</t>
        </is>
      </c>
      <c r="D275" t="inlineStr">
        <is>
          <t>9</t>
        </is>
      </c>
      <c r="E275" s="2">
        <f>HYPERLINK("https://www.britishcycling.org.uk/points?person_id=899655&amp;year=2024&amp;type=national&amp;d=6","Results")</f>
        <v/>
      </c>
    </row>
    <row r="276">
      <c r="A276" t="inlineStr">
        <is>
          <t>275</t>
        </is>
      </c>
      <c r="B276" t="inlineStr">
        <is>
          <t>Monika Zamojska</t>
        </is>
      </c>
      <c r="C276" t="inlineStr">
        <is>
          <t>Brixton Cycles Club</t>
        </is>
      </c>
      <c r="D276" t="inlineStr">
        <is>
          <t>9</t>
        </is>
      </c>
      <c r="E276" s="2">
        <f>HYPERLINK("https://www.britishcycling.org.uk/points?person_id=270432&amp;year=2024&amp;type=national&amp;d=6","Results")</f>
        <v/>
      </c>
    </row>
    <row r="277">
      <c r="A277" t="inlineStr">
        <is>
          <t>276</t>
        </is>
      </c>
      <c r="B277" t="inlineStr">
        <is>
          <t>Jihanna Bonilla-Allard</t>
        </is>
      </c>
      <c r="C277" t="inlineStr">
        <is>
          <t>7 Hills Cycling Club</t>
        </is>
      </c>
      <c r="D277" t="inlineStr">
        <is>
          <t>8</t>
        </is>
      </c>
      <c r="E277" s="2">
        <f>HYPERLINK("https://www.britishcycling.org.uk/points?person_id=767981&amp;year=2024&amp;type=national&amp;d=6","Results")</f>
        <v/>
      </c>
    </row>
    <row r="278">
      <c r="A278" t="inlineStr">
        <is>
          <t>277</t>
        </is>
      </c>
      <c r="B278" t="inlineStr">
        <is>
          <t>Kate Dixon</t>
        </is>
      </c>
      <c r="C278" t="inlineStr">
        <is>
          <t>Oscar Bravo</t>
        </is>
      </c>
      <c r="D278" t="inlineStr">
        <is>
          <t>8</t>
        </is>
      </c>
      <c r="E278" s="2">
        <f>HYPERLINK("https://www.britishcycling.org.uk/points?person_id=863211&amp;year=2024&amp;type=national&amp;d=6","Results")</f>
        <v/>
      </c>
    </row>
    <row r="279">
      <c r="A279" t="inlineStr">
        <is>
          <t>278</t>
        </is>
      </c>
      <c r="B279" t="inlineStr">
        <is>
          <t>Kirsten Knight</t>
        </is>
      </c>
      <c r="C279" t="inlineStr">
        <is>
          <t>Ronde Cycling Club</t>
        </is>
      </c>
      <c r="D279" t="inlineStr">
        <is>
          <t>8</t>
        </is>
      </c>
      <c r="E279" s="2">
        <f>HYPERLINK("https://www.britishcycling.org.uk/points?person_id=266019&amp;year=2024&amp;type=national&amp;d=6","Results")</f>
        <v/>
      </c>
    </row>
    <row r="280">
      <c r="A280" t="inlineStr">
        <is>
          <t>279</t>
        </is>
      </c>
      <c r="B280" t="inlineStr">
        <is>
          <t>Georgie Little</t>
        </is>
      </c>
      <c r="C280" t="inlineStr"/>
      <c r="D280" t="inlineStr">
        <is>
          <t>8</t>
        </is>
      </c>
      <c r="E280" s="2">
        <f>HYPERLINK("https://www.britishcycling.org.uk/points?person_id=814508&amp;year=2024&amp;type=national&amp;d=6","Results")</f>
        <v/>
      </c>
    </row>
    <row r="281">
      <c r="A281" t="inlineStr">
        <is>
          <t>280</t>
        </is>
      </c>
      <c r="B281" t="inlineStr">
        <is>
          <t>Lotty Philipson</t>
        </is>
      </c>
      <c r="C281" t="inlineStr">
        <is>
          <t>Otley CC</t>
        </is>
      </c>
      <c r="D281" t="inlineStr">
        <is>
          <t>8</t>
        </is>
      </c>
      <c r="E281" s="2">
        <f>HYPERLINK("https://www.britishcycling.org.uk/points?person_id=782200&amp;year=2024&amp;type=national&amp;d=6","Results")</f>
        <v/>
      </c>
    </row>
    <row r="282">
      <c r="A282" t="inlineStr">
        <is>
          <t>281</t>
        </is>
      </c>
      <c r="B282" t="inlineStr">
        <is>
          <t>Amelia Walton</t>
        </is>
      </c>
      <c r="C282" t="inlineStr">
        <is>
          <t>Shibden Cycling Club</t>
        </is>
      </c>
      <c r="D282" t="inlineStr">
        <is>
          <t>8</t>
        </is>
      </c>
      <c r="E282" s="2">
        <f>HYPERLINK("https://www.britishcycling.org.uk/points?person_id=227275&amp;year=2024&amp;type=national&amp;d=6","Results")</f>
        <v/>
      </c>
    </row>
    <row r="283">
      <c r="A283" t="inlineStr">
        <is>
          <t>282</t>
        </is>
      </c>
      <c r="B283" t="inlineStr">
        <is>
          <t>Lynn Bland</t>
        </is>
      </c>
      <c r="C283" t="inlineStr">
        <is>
          <t>Norton Wheelers</t>
        </is>
      </c>
      <c r="D283" t="inlineStr">
        <is>
          <t>7</t>
        </is>
      </c>
      <c r="E283" s="2">
        <f>HYPERLINK("https://www.britishcycling.org.uk/points?person_id=71298&amp;year=2024&amp;type=national&amp;d=6","Results")</f>
        <v/>
      </c>
    </row>
    <row r="284">
      <c r="A284" t="inlineStr">
        <is>
          <t>283</t>
        </is>
      </c>
      <c r="B284" t="inlineStr">
        <is>
          <t>Katherine Handy</t>
        </is>
      </c>
      <c r="C284" t="inlineStr">
        <is>
          <t>Valley Striders CC</t>
        </is>
      </c>
      <c r="D284" t="inlineStr">
        <is>
          <t>7</t>
        </is>
      </c>
      <c r="E284" s="2">
        <f>HYPERLINK("https://www.britishcycling.org.uk/points?person_id=839501&amp;year=2024&amp;type=national&amp;d=6","Results")</f>
        <v/>
      </c>
    </row>
    <row r="285">
      <c r="A285" t="inlineStr">
        <is>
          <t>284</t>
        </is>
      </c>
      <c r="B285" t="inlineStr">
        <is>
          <t>Laura Jeremiah</t>
        </is>
      </c>
      <c r="C285" t="inlineStr">
        <is>
          <t>Cardiff JIF</t>
        </is>
      </c>
      <c r="D285" t="inlineStr">
        <is>
          <t>7</t>
        </is>
      </c>
      <c r="E285" s="2">
        <f>HYPERLINK("https://www.britishcycling.org.uk/points?person_id=48888&amp;year=2024&amp;type=national&amp;d=6","Results")</f>
        <v/>
      </c>
    </row>
    <row r="286">
      <c r="A286" t="inlineStr">
        <is>
          <t>285</t>
        </is>
      </c>
      <c r="B286" t="inlineStr">
        <is>
          <t>Lou Johnston</t>
        </is>
      </c>
      <c r="C286" t="inlineStr">
        <is>
          <t>360VRT</t>
        </is>
      </c>
      <c r="D286" t="inlineStr">
        <is>
          <t>7</t>
        </is>
      </c>
      <c r="E286" s="2">
        <f>HYPERLINK("https://www.britishcycling.org.uk/points?person_id=450486&amp;year=2024&amp;type=national&amp;d=6","Results")</f>
        <v/>
      </c>
    </row>
    <row r="287">
      <c r="A287" t="inlineStr">
        <is>
          <t>286</t>
        </is>
      </c>
      <c r="B287" t="inlineStr">
        <is>
          <t>Alison Taylor</t>
        </is>
      </c>
      <c r="C287" t="inlineStr">
        <is>
          <t>Shibden Cycling Club</t>
        </is>
      </c>
      <c r="D287" t="inlineStr">
        <is>
          <t>7</t>
        </is>
      </c>
      <c r="E287" s="2">
        <f>HYPERLINK("https://www.britishcycling.org.uk/points?person_id=986885&amp;year=2024&amp;type=national&amp;d=6","Results")</f>
        <v/>
      </c>
    </row>
    <row r="288">
      <c r="A288" t="inlineStr">
        <is>
          <t>287</t>
        </is>
      </c>
      <c r="B288" t="inlineStr">
        <is>
          <t>Renell Brennan</t>
        </is>
      </c>
      <c r="C288" t="inlineStr"/>
      <c r="D288" t="inlineStr">
        <is>
          <t>6</t>
        </is>
      </c>
      <c r="E288" s="2">
        <f>HYPERLINK("https://www.britishcycling.org.uk/points?person_id=2432&amp;year=2024&amp;type=national&amp;d=6","Results")</f>
        <v/>
      </c>
    </row>
    <row r="289">
      <c r="A289" t="inlineStr">
        <is>
          <t>288</t>
        </is>
      </c>
      <c r="B289" t="inlineStr">
        <is>
          <t>Lucia Bruton</t>
        </is>
      </c>
      <c r="C289" t="inlineStr">
        <is>
          <t>Nova Race Team</t>
        </is>
      </c>
      <c r="D289" t="inlineStr">
        <is>
          <t>6</t>
        </is>
      </c>
      <c r="E289" s="2">
        <f>HYPERLINK("https://www.britishcycling.org.uk/points?person_id=308069&amp;year=2024&amp;type=national&amp;d=6","Results")</f>
        <v/>
      </c>
    </row>
    <row r="290">
      <c r="A290" t="inlineStr">
        <is>
          <t>289</t>
        </is>
      </c>
      <c r="B290" t="inlineStr">
        <is>
          <t>Kirsteen Ellis</t>
        </is>
      </c>
      <c r="C290" t="inlineStr">
        <is>
          <t>Fife Century RC</t>
        </is>
      </c>
      <c r="D290" t="inlineStr">
        <is>
          <t>6</t>
        </is>
      </c>
      <c r="E290" s="2">
        <f>HYPERLINK("https://www.britishcycling.org.uk/points?person_id=304067&amp;year=2024&amp;type=national&amp;d=6","Results")</f>
        <v/>
      </c>
    </row>
    <row r="291">
      <c r="A291" t="inlineStr">
        <is>
          <t>290</t>
        </is>
      </c>
      <c r="B291" t="inlineStr">
        <is>
          <t>Alexa Hawkins</t>
        </is>
      </c>
      <c r="C291" t="inlineStr">
        <is>
          <t>Loughborough Students CC</t>
        </is>
      </c>
      <c r="D291" t="inlineStr">
        <is>
          <t>6</t>
        </is>
      </c>
      <c r="E291" s="2">
        <f>HYPERLINK("https://www.britishcycling.org.uk/points?person_id=102754&amp;year=2024&amp;type=national&amp;d=6","Results")</f>
        <v/>
      </c>
    </row>
    <row r="292">
      <c r="A292" t="inlineStr">
        <is>
          <t>291</t>
        </is>
      </c>
      <c r="B292" t="inlineStr">
        <is>
          <t>Elizabeth McKinnon</t>
        </is>
      </c>
      <c r="C292" t="inlineStr">
        <is>
          <t>Saint Piran WRT</t>
        </is>
      </c>
      <c r="D292" t="inlineStr">
        <is>
          <t>6</t>
        </is>
      </c>
      <c r="E292" s="2">
        <f>HYPERLINK("https://www.britishcycling.org.uk/points?person_id=388144&amp;year=2024&amp;type=national&amp;d=6","Results")</f>
        <v/>
      </c>
    </row>
    <row r="293">
      <c r="A293" t="inlineStr">
        <is>
          <t>292</t>
        </is>
      </c>
      <c r="B293" t="inlineStr">
        <is>
          <t>Jacqui Simcock</t>
        </is>
      </c>
      <c r="C293" t="inlineStr">
        <is>
          <t>Team JMC</t>
        </is>
      </c>
      <c r="D293" t="inlineStr">
        <is>
          <t>6</t>
        </is>
      </c>
      <c r="E293" s="2">
        <f>HYPERLINK("https://www.britishcycling.org.uk/points?person_id=357380&amp;year=2024&amp;type=national&amp;d=6","Results")</f>
        <v/>
      </c>
    </row>
    <row r="294">
      <c r="A294" t="inlineStr">
        <is>
          <t>293</t>
        </is>
      </c>
      <c r="B294" t="inlineStr">
        <is>
          <t>Katie Styles</t>
        </is>
      </c>
      <c r="C294" t="inlineStr">
        <is>
          <t>Brixton Cycles Club</t>
        </is>
      </c>
      <c r="D294" t="inlineStr">
        <is>
          <t>6</t>
        </is>
      </c>
      <c r="E294" s="2">
        <f>HYPERLINK("https://www.britishcycling.org.uk/points?person_id=465498&amp;year=2024&amp;type=national&amp;d=6","Results")</f>
        <v/>
      </c>
    </row>
    <row r="295">
      <c r="A295" t="inlineStr">
        <is>
          <t>294</t>
        </is>
      </c>
      <c r="B295" t="inlineStr">
        <is>
          <t>Martha Lebentz</t>
        </is>
      </c>
      <c r="C295" t="inlineStr">
        <is>
          <t>Team LCUK</t>
        </is>
      </c>
      <c r="D295" t="inlineStr">
        <is>
          <t>5</t>
        </is>
      </c>
      <c r="E295" s="2">
        <f>HYPERLINK("https://www.britishcycling.org.uk/points?person_id=253677&amp;year=2024&amp;type=national&amp;d=6","Results")</f>
        <v/>
      </c>
    </row>
    <row r="296">
      <c r="A296" t="inlineStr">
        <is>
          <t>295</t>
        </is>
      </c>
      <c r="B296" t="inlineStr">
        <is>
          <t>Pamela Moore</t>
        </is>
      </c>
      <c r="C296" t="inlineStr">
        <is>
          <t>Coalville Wheelers CC</t>
        </is>
      </c>
      <c r="D296" t="inlineStr">
        <is>
          <t>5</t>
        </is>
      </c>
      <c r="E296" s="2">
        <f>HYPERLINK("https://www.britishcycling.org.uk/points?person_id=612163&amp;year=2024&amp;type=national&amp;d=6","Results")</f>
        <v/>
      </c>
    </row>
    <row r="297">
      <c r="A297" t="inlineStr">
        <is>
          <t>296</t>
        </is>
      </c>
      <c r="B297" t="inlineStr">
        <is>
          <t>Dalila Lecky</t>
        </is>
      </c>
      <c r="C297" t="inlineStr">
        <is>
          <t>Dulwich Paragon CC</t>
        </is>
      </c>
      <c r="D297" t="inlineStr">
        <is>
          <t>4</t>
        </is>
      </c>
      <c r="E297" s="2">
        <f>HYPERLINK("https://www.britishcycling.org.uk/points?person_id=268107&amp;year=2024&amp;type=national&amp;d=6","Results")</f>
        <v/>
      </c>
    </row>
    <row r="298">
      <c r="A298" t="inlineStr">
        <is>
          <t>297</t>
        </is>
      </c>
      <c r="B298" t="inlineStr">
        <is>
          <t>Karen McGrath</t>
        </is>
      </c>
      <c r="C298" t="inlineStr">
        <is>
          <t>Team TMC - Strada Wheels</t>
        </is>
      </c>
      <c r="D298" t="inlineStr">
        <is>
          <t>4</t>
        </is>
      </c>
      <c r="E298" s="2">
        <f>HYPERLINK("https://www.britishcycling.org.uk/points?person_id=228737&amp;year=2024&amp;type=national&amp;d=6","Results")</f>
        <v/>
      </c>
    </row>
    <row r="299">
      <c r="A299" t="inlineStr">
        <is>
          <t>298</t>
        </is>
      </c>
      <c r="B299" t="inlineStr">
        <is>
          <t>Sophie Catt</t>
        </is>
      </c>
      <c r="C299" t="inlineStr">
        <is>
          <t>Bristol RC</t>
        </is>
      </c>
      <c r="D299" t="inlineStr">
        <is>
          <t>3</t>
        </is>
      </c>
      <c r="E299" s="2">
        <f>HYPERLINK("https://www.britishcycling.org.uk/points?person_id=1063097&amp;year=2024&amp;type=national&amp;d=6","Results")</f>
        <v/>
      </c>
    </row>
    <row r="300">
      <c r="A300" t="inlineStr">
        <is>
          <t>299</t>
        </is>
      </c>
      <c r="B300" t="inlineStr">
        <is>
          <t>Trish McPherson</t>
        </is>
      </c>
      <c r="C300" t="inlineStr">
        <is>
          <t>Coalville Wheelers CC</t>
        </is>
      </c>
      <c r="D300" t="inlineStr">
        <is>
          <t>3</t>
        </is>
      </c>
      <c r="E300" s="2">
        <f>HYPERLINK("https://www.britishcycling.org.uk/points?person_id=783320&amp;year=2024&amp;type=national&amp;d=6","Results")</f>
        <v/>
      </c>
    </row>
    <row r="301">
      <c r="A301" t="inlineStr">
        <is>
          <t>300</t>
        </is>
      </c>
      <c r="B301" t="inlineStr">
        <is>
          <t>Jess Brooke</t>
        </is>
      </c>
      <c r="C301" t="inlineStr">
        <is>
          <t>Vale of Belvoir Cycling Club</t>
        </is>
      </c>
      <c r="D301" t="inlineStr">
        <is>
          <t>2</t>
        </is>
      </c>
      <c r="E301" s="2">
        <f>HYPERLINK("https://www.britishcycling.org.uk/points?person_id=644962&amp;year=2024&amp;type=national&amp;d=6","Results")</f>
        <v/>
      </c>
    </row>
    <row r="302">
      <c r="A302" t="inlineStr">
        <is>
          <t>301</t>
        </is>
      </c>
      <c r="B302" t="inlineStr">
        <is>
          <t>Emily Conn</t>
        </is>
      </c>
      <c r="C302" t="inlineStr"/>
      <c r="D302" t="inlineStr">
        <is>
          <t>2</t>
        </is>
      </c>
      <c r="E302" s="2">
        <f>HYPERLINK("https://www.britishcycling.org.uk/points?person_id=64818&amp;year=2024&amp;type=national&amp;d=6","Results")</f>
        <v/>
      </c>
    </row>
    <row r="303">
      <c r="A303" t="inlineStr">
        <is>
          <t>302</t>
        </is>
      </c>
      <c r="B303" t="inlineStr">
        <is>
          <t>Hannah Dale</t>
        </is>
      </c>
      <c r="C303" t="inlineStr">
        <is>
          <t>Newport Shropshire CC</t>
        </is>
      </c>
      <c r="D303" t="inlineStr">
        <is>
          <t>2</t>
        </is>
      </c>
      <c r="E303" s="2">
        <f>HYPERLINK("https://www.britishcycling.org.uk/points?person_id=283245&amp;year=2024&amp;type=national&amp;d=6","Results")</f>
        <v/>
      </c>
    </row>
    <row r="304">
      <c r="A304" t="inlineStr">
        <is>
          <t>303</t>
        </is>
      </c>
      <c r="B304" t="inlineStr">
        <is>
          <t>Katherine Fodor</t>
        </is>
      </c>
      <c r="C304" t="inlineStr">
        <is>
          <t>Velociposse</t>
        </is>
      </c>
      <c r="D304" t="inlineStr">
        <is>
          <t>2</t>
        </is>
      </c>
      <c r="E304" s="2">
        <f>HYPERLINK("https://www.britishcycling.org.uk/points?person_id=470180&amp;year=2024&amp;type=national&amp;d=6","Results")</f>
        <v/>
      </c>
    </row>
    <row r="305">
      <c r="A305" t="inlineStr">
        <is>
          <t>304</t>
        </is>
      </c>
      <c r="B305" t="inlineStr">
        <is>
          <t>Lucie Gallen</t>
        </is>
      </c>
      <c r="C305" t="inlineStr"/>
      <c r="D305" t="inlineStr">
        <is>
          <t>2</t>
        </is>
      </c>
      <c r="E305" s="2">
        <f>HYPERLINK("https://www.britishcycling.org.uk/points?person_id=201337&amp;year=2024&amp;type=national&amp;d=6","Results")</f>
        <v/>
      </c>
    </row>
    <row r="306">
      <c r="A306" t="inlineStr">
        <is>
          <t>305</t>
        </is>
      </c>
      <c r="B306" t="inlineStr">
        <is>
          <t>Ruth Gamwell</t>
        </is>
      </c>
      <c r="C306" t="inlineStr">
        <is>
          <t>Macclesfield Wheelers</t>
        </is>
      </c>
      <c r="D306" t="inlineStr">
        <is>
          <t>2</t>
        </is>
      </c>
      <c r="E306" s="2">
        <f>HYPERLINK("https://www.britishcycling.org.uk/points?person_id=37464&amp;year=2024&amp;type=national&amp;d=6","Results")</f>
        <v/>
      </c>
    </row>
    <row r="307">
      <c r="A307" t="inlineStr">
        <is>
          <t>306</t>
        </is>
      </c>
      <c r="B307" t="inlineStr">
        <is>
          <t>Lauren Lett</t>
        </is>
      </c>
      <c r="C307" t="inlineStr">
        <is>
          <t>Jettes CC</t>
        </is>
      </c>
      <c r="D307" t="inlineStr">
        <is>
          <t>2</t>
        </is>
      </c>
      <c r="E307" s="2">
        <f>HYPERLINK("https://www.britishcycling.org.uk/points?person_id=748406&amp;year=2024&amp;type=national&amp;d=6","Results")</f>
        <v/>
      </c>
    </row>
    <row r="308">
      <c r="A308" t="inlineStr">
        <is>
          <t>307</t>
        </is>
      </c>
      <c r="B308" t="inlineStr">
        <is>
          <t>Helen Bakie</t>
        </is>
      </c>
      <c r="C308" t="inlineStr">
        <is>
          <t>Brixton Cycles Club</t>
        </is>
      </c>
      <c r="D308" t="inlineStr">
        <is>
          <t>1</t>
        </is>
      </c>
      <c r="E308" s="2">
        <f>HYPERLINK("https://www.britishcycling.org.uk/points?person_id=1041831&amp;year=2024&amp;type=national&amp;d=6","Results")</f>
        <v/>
      </c>
    </row>
    <row r="309">
      <c r="A309" t="inlineStr">
        <is>
          <t>308</t>
        </is>
      </c>
      <c r="B309" t="inlineStr">
        <is>
          <t>Chloe Parrington</t>
        </is>
      </c>
      <c r="C309" t="inlineStr">
        <is>
          <t>Red Rose Olympic CC</t>
        </is>
      </c>
      <c r="D309" t="inlineStr">
        <is>
          <t>1</t>
        </is>
      </c>
      <c r="E309" s="2">
        <f>HYPERLINK("https://www.britishcycling.org.uk/points?person_id=43777&amp;year=2024&amp;type=national&amp;d=6","Results")</f>
        <v/>
      </c>
    </row>
  </sheetData>
  <pageMargins left="0.75" right="0.75" top="1" bottom="1" header="0.5" footer="0.5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F85"/>
  <sheetViews>
    <sheetView workbookViewId="0">
      <selection activeCell="A1" sqref="A1"/>
    </sheetView>
  </sheetViews>
  <sheetFormatPr baseColWidth="8" defaultRowHeight="15"/>
  <cols>
    <col width="8" customWidth="1" min="1" max="1"/>
    <col width="25" customWidth="1" min="2" max="2"/>
    <col width="50" customWidth="1" min="3" max="3"/>
    <col width="7" customWidth="1" min="4" max="4"/>
    <col width="20" customWidth="1" min="5" max="5"/>
  </cols>
  <sheetData>
    <row r="1">
      <c r="A1" s="1" t="inlineStr">
        <is>
          <t>Ranking</t>
        </is>
      </c>
      <c r="B1" s="1" t="inlineStr">
        <is>
          <t>Name</t>
        </is>
      </c>
      <c r="C1" s="1" t="inlineStr">
        <is>
          <t>Club/Team</t>
        </is>
      </c>
      <c r="D1" s="1" t="inlineStr">
        <is>
          <t>Points</t>
        </is>
      </c>
      <c r="E1" s="1" t="inlineStr">
        <is>
          <t>Detail (click)</t>
        </is>
      </c>
      <c r="F1" s="1" t="inlineStr">
        <is>
          <t>Updated: 2024-12-20</t>
        </is>
      </c>
    </row>
    <row r="2">
      <c r="A2" t="inlineStr">
        <is>
          <t>1</t>
        </is>
      </c>
      <c r="B2" t="inlineStr">
        <is>
          <t>Ceris Styler</t>
        </is>
      </c>
      <c r="C2" t="inlineStr">
        <is>
          <t>ROTOR Race Team</t>
        </is>
      </c>
      <c r="D2" t="inlineStr">
        <is>
          <t>656</t>
        </is>
      </c>
      <c r="E2" s="2">
        <f>HYPERLINK("https://www.britishcycling.org.uk/points?person_id=3867&amp;year=2024&amp;type=national&amp;d=6","Results")</f>
        <v/>
      </c>
    </row>
    <row r="3">
      <c r="A3" t="inlineStr">
        <is>
          <t>2</t>
        </is>
      </c>
      <c r="B3" t="inlineStr">
        <is>
          <t>Kate Eedy</t>
        </is>
      </c>
      <c r="C3" t="inlineStr">
        <is>
          <t>Team Empella</t>
        </is>
      </c>
      <c r="D3" t="inlineStr">
        <is>
          <t>626</t>
        </is>
      </c>
      <c r="E3" s="2">
        <f>HYPERLINK("https://www.britishcycling.org.uk/points?person_id=23987&amp;year=2024&amp;type=national&amp;d=6","Results")</f>
        <v/>
      </c>
    </row>
    <row r="4">
      <c r="A4" t="inlineStr">
        <is>
          <t>3</t>
        </is>
      </c>
      <c r="B4" t="inlineStr">
        <is>
          <t>Gemma Felstead</t>
        </is>
      </c>
      <c r="C4" t="inlineStr">
        <is>
          <t>Team Empella</t>
        </is>
      </c>
      <c r="D4" t="inlineStr">
        <is>
          <t>576</t>
        </is>
      </c>
      <c r="E4" s="2">
        <f>HYPERLINK("https://www.britishcycling.org.uk/points?person_id=585180&amp;year=2024&amp;type=national&amp;d=6","Results")</f>
        <v/>
      </c>
    </row>
    <row r="5">
      <c r="A5" t="inlineStr">
        <is>
          <t>4</t>
        </is>
      </c>
      <c r="B5" t="inlineStr">
        <is>
          <t>Rowena Duffield</t>
        </is>
      </c>
      <c r="C5" t="inlineStr">
        <is>
          <t>Cwmcarn Paragon Cycling Club</t>
        </is>
      </c>
      <c r="D5" t="inlineStr">
        <is>
          <t>512</t>
        </is>
      </c>
      <c r="E5" s="2">
        <f>HYPERLINK("https://www.britishcycling.org.uk/points?person_id=731423&amp;year=2024&amp;type=national&amp;d=6","Results")</f>
        <v/>
      </c>
    </row>
    <row r="6">
      <c r="A6" t="inlineStr">
        <is>
          <t>5</t>
        </is>
      </c>
      <c r="B6" t="inlineStr">
        <is>
          <t>Jennifer Andrews</t>
        </is>
      </c>
      <c r="C6" t="inlineStr">
        <is>
          <t>Cycle Club Ashwell (CCA)</t>
        </is>
      </c>
      <c r="D6" t="inlineStr">
        <is>
          <t>428</t>
        </is>
      </c>
      <c r="E6" s="2">
        <f>HYPERLINK("https://www.britishcycling.org.uk/points?person_id=439182&amp;year=2024&amp;type=national&amp;d=6","Results")</f>
        <v/>
      </c>
    </row>
    <row r="7">
      <c r="A7" t="inlineStr">
        <is>
          <t>6</t>
        </is>
      </c>
      <c r="B7" t="inlineStr">
        <is>
          <t>Elizabeth Hughes</t>
        </is>
      </c>
      <c r="C7" t="inlineStr">
        <is>
          <t>Mudbath CC</t>
        </is>
      </c>
      <c r="D7" t="inlineStr">
        <is>
          <t>338</t>
        </is>
      </c>
      <c r="E7" s="2">
        <f>HYPERLINK("https://www.britishcycling.org.uk/points?person_id=409283&amp;year=2024&amp;type=national&amp;d=6","Results")</f>
        <v/>
      </c>
    </row>
    <row r="8">
      <c r="A8" t="inlineStr">
        <is>
          <t>7</t>
        </is>
      </c>
      <c r="B8" t="inlineStr">
        <is>
          <t>Natalie Jenks</t>
        </is>
      </c>
      <c r="C8" t="inlineStr">
        <is>
          <t>Magspeed Racing</t>
        </is>
      </c>
      <c r="D8" t="inlineStr">
        <is>
          <t>306</t>
        </is>
      </c>
      <c r="E8" s="2">
        <f>HYPERLINK("https://www.britishcycling.org.uk/points?person_id=870930&amp;year=2024&amp;type=national&amp;d=6","Results")</f>
        <v/>
      </c>
    </row>
    <row r="9">
      <c r="A9" t="inlineStr">
        <is>
          <t>8</t>
        </is>
      </c>
      <c r="B9" t="inlineStr">
        <is>
          <t>Suzanne Warren</t>
        </is>
      </c>
      <c r="C9" t="inlineStr">
        <is>
          <t>Cardiff Ajax CC</t>
        </is>
      </c>
      <c r="D9" t="inlineStr">
        <is>
          <t>306</t>
        </is>
      </c>
      <c r="E9" s="2">
        <f>HYPERLINK("https://www.britishcycling.org.uk/points?person_id=105889&amp;year=2024&amp;type=national&amp;d=6","Results")</f>
        <v/>
      </c>
    </row>
    <row r="10">
      <c r="A10" t="inlineStr">
        <is>
          <t>9</t>
        </is>
      </c>
      <c r="B10" t="inlineStr">
        <is>
          <t>Verity Appleyard</t>
        </is>
      </c>
      <c r="C10" t="inlineStr">
        <is>
          <t>Velo Fixers</t>
        </is>
      </c>
      <c r="D10" t="inlineStr">
        <is>
          <t>302</t>
        </is>
      </c>
      <c r="E10" s="2">
        <f>HYPERLINK("https://www.britishcycling.org.uk/points?person_id=72717&amp;year=2024&amp;type=national&amp;d=6","Results")</f>
        <v/>
      </c>
    </row>
    <row r="11">
      <c r="A11" t="inlineStr">
        <is>
          <t>10</t>
        </is>
      </c>
      <c r="B11" t="inlineStr">
        <is>
          <t>Larissa Alexander</t>
        </is>
      </c>
      <c r="C11" t="inlineStr">
        <is>
          <t>Coalville Wheelers CC</t>
        </is>
      </c>
      <c r="D11" t="inlineStr">
        <is>
          <t>276</t>
        </is>
      </c>
      <c r="E11" s="2">
        <f>HYPERLINK("https://www.britishcycling.org.uk/points?person_id=474435&amp;year=2024&amp;type=national&amp;d=6","Results")</f>
        <v/>
      </c>
    </row>
    <row r="12">
      <c r="A12" t="inlineStr">
        <is>
          <t>11</t>
        </is>
      </c>
      <c r="B12" t="inlineStr">
        <is>
          <t>Ailsa Neely</t>
        </is>
      </c>
      <c r="C12" t="inlineStr">
        <is>
          <t>Solihull CC</t>
        </is>
      </c>
      <c r="D12" t="inlineStr">
        <is>
          <t>274</t>
        </is>
      </c>
      <c r="E12" s="2">
        <f>HYPERLINK("https://www.britishcycling.org.uk/points?person_id=660755&amp;year=2024&amp;type=national&amp;d=6","Results")</f>
        <v/>
      </c>
    </row>
    <row r="13">
      <c r="A13" t="inlineStr">
        <is>
          <t>12</t>
        </is>
      </c>
      <c r="B13" t="inlineStr">
        <is>
          <t>Tracey Corcoran</t>
        </is>
      </c>
      <c r="C13" t="inlineStr">
        <is>
          <t>Plymouth Corinthian CC</t>
        </is>
      </c>
      <c r="D13" t="inlineStr">
        <is>
          <t>272</t>
        </is>
      </c>
      <c r="E13" s="2">
        <f>HYPERLINK("https://www.britishcycling.org.uk/points?person_id=846241&amp;year=2024&amp;type=national&amp;d=6","Results")</f>
        <v/>
      </c>
    </row>
    <row r="14">
      <c r="A14" t="inlineStr">
        <is>
          <t>13</t>
        </is>
      </c>
      <c r="B14" t="inlineStr">
        <is>
          <t>Kelly Wilby</t>
        </is>
      </c>
      <c r="C14" t="inlineStr">
        <is>
          <t>Shibden Cycling Club</t>
        </is>
      </c>
      <c r="D14" t="inlineStr">
        <is>
          <t>272</t>
        </is>
      </c>
      <c r="E14" s="2">
        <f>HYPERLINK("https://www.britishcycling.org.uk/points?person_id=1050312&amp;year=2024&amp;type=national&amp;d=6","Results")</f>
        <v/>
      </c>
    </row>
    <row r="15">
      <c r="A15" t="inlineStr">
        <is>
          <t>14</t>
        </is>
      </c>
      <c r="B15" t="inlineStr">
        <is>
          <t>Gemma Wilks</t>
        </is>
      </c>
      <c r="C15" t="inlineStr">
        <is>
          <t>Sotonia CC</t>
        </is>
      </c>
      <c r="D15" t="inlineStr">
        <is>
          <t>266</t>
        </is>
      </c>
      <c r="E15" s="2">
        <f>HYPERLINK("https://www.britishcycling.org.uk/points?person_id=469045&amp;year=2024&amp;type=national&amp;d=6","Results")</f>
        <v/>
      </c>
    </row>
    <row r="16">
      <c r="A16" t="inlineStr">
        <is>
          <t>15</t>
        </is>
      </c>
      <c r="B16" t="inlineStr">
        <is>
          <t>Helen Jackson</t>
        </is>
      </c>
      <c r="C16" t="inlineStr">
        <is>
          <t>Kendal Cycle Club</t>
        </is>
      </c>
      <c r="D16" t="inlineStr">
        <is>
          <t>260</t>
        </is>
      </c>
      <c r="E16" s="2">
        <f>HYPERLINK("https://www.britishcycling.org.uk/points?person_id=74479&amp;year=2024&amp;type=national&amp;d=6","Results")</f>
        <v/>
      </c>
    </row>
    <row r="17">
      <c r="A17" t="inlineStr">
        <is>
          <t>16</t>
        </is>
      </c>
      <c r="B17" t="inlineStr">
        <is>
          <t>Denise Burrows</t>
        </is>
      </c>
      <c r="C17" t="inlineStr">
        <is>
          <t>AeroCoach</t>
        </is>
      </c>
      <c r="D17" t="inlineStr">
        <is>
          <t>254</t>
        </is>
      </c>
      <c r="E17" s="2">
        <f>HYPERLINK("https://www.britishcycling.org.uk/points?person_id=399906&amp;year=2024&amp;type=national&amp;d=6","Results")</f>
        <v/>
      </c>
    </row>
    <row r="18">
      <c r="A18" t="inlineStr">
        <is>
          <t>17</t>
        </is>
      </c>
      <c r="B18" t="inlineStr">
        <is>
          <t>Eola Canham</t>
        </is>
      </c>
      <c r="C18" t="inlineStr">
        <is>
          <t>Rapha Cycling Club</t>
        </is>
      </c>
      <c r="D18" t="inlineStr">
        <is>
          <t>254</t>
        </is>
      </c>
      <c r="E18" s="2">
        <f>HYPERLINK("https://www.britishcycling.org.uk/points?person_id=556277&amp;year=2024&amp;type=national&amp;d=6","Results")</f>
        <v/>
      </c>
    </row>
    <row r="19">
      <c r="A19" t="inlineStr">
        <is>
          <t>18</t>
        </is>
      </c>
      <c r="B19" t="inlineStr">
        <is>
          <t>Anna Streule</t>
        </is>
      </c>
      <c r="C19" t="inlineStr">
        <is>
          <t>London Dynamo</t>
        </is>
      </c>
      <c r="D19" t="inlineStr">
        <is>
          <t>249</t>
        </is>
      </c>
      <c r="E19" s="2">
        <f>HYPERLINK("https://www.britishcycling.org.uk/points?person_id=1130625&amp;year=2024&amp;type=national&amp;d=6","Results")</f>
        <v/>
      </c>
    </row>
    <row r="20">
      <c r="A20" t="inlineStr">
        <is>
          <t>19</t>
        </is>
      </c>
      <c r="B20" t="inlineStr">
        <is>
          <t>Rachel Clay</t>
        </is>
      </c>
      <c r="C20" t="inlineStr">
        <is>
          <t>GS Vecchi</t>
        </is>
      </c>
      <c r="D20" t="inlineStr">
        <is>
          <t>246</t>
        </is>
      </c>
      <c r="E20" s="2">
        <f>HYPERLINK("https://www.britishcycling.org.uk/points?person_id=41520&amp;year=2024&amp;type=national&amp;d=6","Results")</f>
        <v/>
      </c>
    </row>
    <row r="21">
      <c r="A21" t="inlineStr">
        <is>
          <t>20</t>
        </is>
      </c>
      <c r="B21" t="inlineStr">
        <is>
          <t>Lynne Scofield</t>
        </is>
      </c>
      <c r="C21" t="inlineStr">
        <is>
          <t>Rockingham Forest Whls</t>
        </is>
      </c>
      <c r="D21" t="inlineStr">
        <is>
          <t>245</t>
        </is>
      </c>
      <c r="E21" s="2">
        <f>HYPERLINK("https://www.britishcycling.org.uk/points?person_id=1036194&amp;year=2024&amp;type=national&amp;d=6","Results")</f>
        <v/>
      </c>
    </row>
    <row r="22">
      <c r="A22" t="inlineStr">
        <is>
          <t>21</t>
        </is>
      </c>
      <c r="B22" t="inlineStr">
        <is>
          <t>Tracy Bremner</t>
        </is>
      </c>
      <c r="C22" t="inlineStr">
        <is>
          <t>Pedalon.co.uk</t>
        </is>
      </c>
      <c r="D22" t="inlineStr">
        <is>
          <t>235</t>
        </is>
      </c>
      <c r="E22" s="2">
        <f>HYPERLINK("https://www.britishcycling.org.uk/points?person_id=336093&amp;year=2024&amp;type=national&amp;d=6","Results")</f>
        <v/>
      </c>
    </row>
    <row r="23">
      <c r="A23" t="inlineStr">
        <is>
          <t>22</t>
        </is>
      </c>
      <c r="B23" t="inlineStr">
        <is>
          <t>Rachel Dunn</t>
        </is>
      </c>
      <c r="C23" t="inlineStr">
        <is>
          <t>Verulam - reallymoving.com</t>
        </is>
      </c>
      <c r="D23" t="inlineStr">
        <is>
          <t>232</t>
        </is>
      </c>
      <c r="E23" s="2">
        <f>HYPERLINK("https://www.britishcycling.org.uk/points?person_id=377653&amp;year=2024&amp;type=national&amp;d=6","Results")</f>
        <v/>
      </c>
    </row>
    <row r="24">
      <c r="A24" t="inlineStr">
        <is>
          <t>23</t>
        </is>
      </c>
      <c r="B24" t="inlineStr">
        <is>
          <t>Nicole Read</t>
        </is>
      </c>
      <c r="C24" t="inlineStr"/>
      <c r="D24" t="inlineStr">
        <is>
          <t>228</t>
        </is>
      </c>
      <c r="E24" s="2">
        <f>HYPERLINK("https://www.britishcycling.org.uk/points?person_id=902417&amp;year=2024&amp;type=national&amp;d=6","Results")</f>
        <v/>
      </c>
    </row>
    <row r="25">
      <c r="A25" t="inlineStr">
        <is>
          <t>24</t>
        </is>
      </c>
      <c r="B25" t="inlineStr">
        <is>
          <t>Elisa McDonagh</t>
        </is>
      </c>
      <c r="C25" t="inlineStr">
        <is>
          <t>CXR</t>
        </is>
      </c>
      <c r="D25" t="inlineStr">
        <is>
          <t>222</t>
        </is>
      </c>
      <c r="E25" s="2">
        <f>HYPERLINK("https://www.britishcycling.org.uk/points?person_id=120341&amp;year=2024&amp;type=national&amp;d=6","Results")</f>
        <v/>
      </c>
    </row>
    <row r="26">
      <c r="A26" t="inlineStr">
        <is>
          <t>25</t>
        </is>
      </c>
      <c r="B26" t="inlineStr">
        <is>
          <t>Ceri Shephard</t>
        </is>
      </c>
      <c r="C26" t="inlineStr">
        <is>
          <t>Stratford CC</t>
        </is>
      </c>
      <c r="D26" t="inlineStr">
        <is>
          <t>218</t>
        </is>
      </c>
      <c r="E26" s="2">
        <f>HYPERLINK("https://www.britishcycling.org.uk/points?person_id=1084184&amp;year=2024&amp;type=national&amp;d=6","Results")</f>
        <v/>
      </c>
    </row>
    <row r="27">
      <c r="A27" t="inlineStr">
        <is>
          <t>26</t>
        </is>
      </c>
      <c r="B27" t="inlineStr">
        <is>
          <t>Catherine Glowinski</t>
        </is>
      </c>
      <c r="C27" t="inlineStr">
        <is>
          <t>VC Londres</t>
        </is>
      </c>
      <c r="D27" t="inlineStr">
        <is>
          <t>213</t>
        </is>
      </c>
      <c r="E27" s="2">
        <f>HYPERLINK("https://www.britishcycling.org.uk/points?person_id=314983&amp;year=2024&amp;type=national&amp;d=6","Results")</f>
        <v/>
      </c>
    </row>
    <row r="28">
      <c r="A28" t="inlineStr">
        <is>
          <t>27</t>
        </is>
      </c>
      <c r="B28" t="inlineStr">
        <is>
          <t>Victoria Strila</t>
        </is>
      </c>
      <c r="C28" t="inlineStr">
        <is>
          <t>Quick Release Cycling Club</t>
        </is>
      </c>
      <c r="D28" t="inlineStr">
        <is>
          <t>206</t>
        </is>
      </c>
      <c r="E28" s="2">
        <f>HYPERLINK("https://www.britishcycling.org.uk/points?person_id=202214&amp;year=2024&amp;type=national&amp;d=6","Results")</f>
        <v/>
      </c>
    </row>
    <row r="29">
      <c r="A29" t="inlineStr">
        <is>
          <t>28</t>
        </is>
      </c>
      <c r="B29" t="inlineStr">
        <is>
          <t>Kara Weir</t>
        </is>
      </c>
      <c r="C29" t="inlineStr">
        <is>
          <t>Peddlamaniacs Cycle Club</t>
        </is>
      </c>
      <c r="D29" t="inlineStr">
        <is>
          <t>196</t>
        </is>
      </c>
      <c r="E29" s="2">
        <f>HYPERLINK("https://www.britishcycling.org.uk/points?person_id=1021586&amp;year=2024&amp;type=national&amp;d=6","Results")</f>
        <v/>
      </c>
    </row>
    <row r="30">
      <c r="A30" t="inlineStr">
        <is>
          <t>29</t>
        </is>
      </c>
      <c r="B30" t="inlineStr">
        <is>
          <t>Lynsey Whitley</t>
        </is>
      </c>
      <c r="C30" t="inlineStr">
        <is>
          <t>Team Enable MI Racing</t>
        </is>
      </c>
      <c r="D30" t="inlineStr">
        <is>
          <t>190</t>
        </is>
      </c>
      <c r="E30" s="2">
        <f>HYPERLINK("https://www.britishcycling.org.uk/points?person_id=411912&amp;year=2024&amp;type=national&amp;d=6","Results")</f>
        <v/>
      </c>
    </row>
    <row r="31">
      <c r="A31" t="inlineStr">
        <is>
          <t>30</t>
        </is>
      </c>
      <c r="B31" t="inlineStr">
        <is>
          <t>Caroline Cunningham</t>
        </is>
      </c>
      <c r="C31" t="inlineStr">
        <is>
          <t>North Tyneside Riders</t>
        </is>
      </c>
      <c r="D31" t="inlineStr">
        <is>
          <t>186</t>
        </is>
      </c>
      <c r="E31" s="2">
        <f>HYPERLINK("https://www.britishcycling.org.uk/points?person_id=524130&amp;year=2024&amp;type=national&amp;d=6","Results")</f>
        <v/>
      </c>
    </row>
    <row r="32">
      <c r="A32" t="inlineStr">
        <is>
          <t>31</t>
        </is>
      </c>
      <c r="B32" t="inlineStr">
        <is>
          <t>Gemma Mann</t>
        </is>
      </c>
      <c r="C32" t="inlineStr">
        <is>
          <t>Harrogate Nova CC</t>
        </is>
      </c>
      <c r="D32" t="inlineStr">
        <is>
          <t>182</t>
        </is>
      </c>
      <c r="E32" s="2">
        <f>HYPERLINK("https://www.britishcycling.org.uk/points?person_id=809929&amp;year=2024&amp;type=national&amp;d=6","Results")</f>
        <v/>
      </c>
    </row>
    <row r="33">
      <c r="A33" t="inlineStr">
        <is>
          <t>32</t>
        </is>
      </c>
      <c r="B33" t="inlineStr">
        <is>
          <t>Julia Behnsen</t>
        </is>
      </c>
      <c r="C33" t="inlineStr">
        <is>
          <t>Port Sunlight Wheelers</t>
        </is>
      </c>
      <c r="D33" t="inlineStr">
        <is>
          <t>181</t>
        </is>
      </c>
      <c r="E33" s="2">
        <f>HYPERLINK("https://www.britishcycling.org.uk/points?person_id=527263&amp;year=2024&amp;type=national&amp;d=6","Results")</f>
        <v/>
      </c>
    </row>
    <row r="34">
      <c r="A34" t="inlineStr">
        <is>
          <t>33</t>
        </is>
      </c>
      <c r="B34" t="inlineStr">
        <is>
          <t>Liz Taylor</t>
        </is>
      </c>
      <c r="C34" t="inlineStr">
        <is>
          <t>Derby Mercury RC</t>
        </is>
      </c>
      <c r="D34" t="inlineStr">
        <is>
          <t>178</t>
        </is>
      </c>
      <c r="E34" s="2">
        <f>HYPERLINK("https://www.britishcycling.org.uk/points?person_id=735488&amp;year=2024&amp;type=national&amp;d=6","Results")</f>
        <v/>
      </c>
    </row>
    <row r="35">
      <c r="A35" t="inlineStr">
        <is>
          <t>34</t>
        </is>
      </c>
      <c r="B35" t="inlineStr">
        <is>
          <t>Sharon Spicer</t>
        </is>
      </c>
      <c r="C35" t="inlineStr">
        <is>
          <t>Preston Park Youth CC (PPYCC)</t>
        </is>
      </c>
      <c r="D35" t="inlineStr">
        <is>
          <t>171</t>
        </is>
      </c>
      <c r="E35" s="2">
        <f>HYPERLINK("https://www.britishcycling.org.uk/points?person_id=1060049&amp;year=2024&amp;type=national&amp;d=6","Results")</f>
        <v/>
      </c>
    </row>
    <row r="36">
      <c r="A36" t="inlineStr">
        <is>
          <t>35</t>
        </is>
      </c>
      <c r="B36" t="inlineStr">
        <is>
          <t>Lou Johnston</t>
        </is>
      </c>
      <c r="C36" t="inlineStr">
        <is>
          <t>360VRT</t>
        </is>
      </c>
      <c r="D36" t="inlineStr">
        <is>
          <t>156</t>
        </is>
      </c>
      <c r="E36" s="2">
        <f>HYPERLINK("https://www.britishcycling.org.uk/points?person_id=450486&amp;year=2024&amp;type=national&amp;d=6","Results")</f>
        <v/>
      </c>
    </row>
    <row r="37">
      <c r="A37" t="inlineStr">
        <is>
          <t>36</t>
        </is>
      </c>
      <c r="B37" t="inlineStr">
        <is>
          <t>Claire Evans</t>
        </is>
      </c>
      <c r="C37" t="inlineStr">
        <is>
          <t>Sprockets Cycle Club</t>
        </is>
      </c>
      <c r="D37" t="inlineStr">
        <is>
          <t>153</t>
        </is>
      </c>
      <c r="E37" s="2">
        <f>HYPERLINK("https://www.britishcycling.org.uk/points?person_id=696282&amp;year=2024&amp;type=national&amp;d=6","Results")</f>
        <v/>
      </c>
    </row>
    <row r="38">
      <c r="A38" t="inlineStr">
        <is>
          <t>37</t>
        </is>
      </c>
      <c r="B38" t="inlineStr">
        <is>
          <t>Elvita Girgzdyte</t>
        </is>
      </c>
      <c r="C38" t="inlineStr">
        <is>
          <t>XRT - Elmy Cycles</t>
        </is>
      </c>
      <c r="D38" t="inlineStr">
        <is>
          <t>150</t>
        </is>
      </c>
      <c r="E38" s="2">
        <f>HYPERLINK("https://www.britishcycling.org.uk/points?person_id=452451&amp;year=2024&amp;type=national&amp;d=6","Results")</f>
        <v/>
      </c>
    </row>
    <row r="39">
      <c r="A39" t="inlineStr">
        <is>
          <t>38</t>
        </is>
      </c>
      <c r="B39" t="inlineStr">
        <is>
          <t>Fran Whyte</t>
        </is>
      </c>
      <c r="C39" t="inlineStr"/>
      <c r="D39" t="inlineStr">
        <is>
          <t>148</t>
        </is>
      </c>
      <c r="E39" s="2">
        <f>HYPERLINK("https://www.britishcycling.org.uk/points?person_id=262068&amp;year=2024&amp;type=national&amp;d=6","Results")</f>
        <v/>
      </c>
    </row>
    <row r="40">
      <c r="A40" t="inlineStr">
        <is>
          <t>39</t>
        </is>
      </c>
      <c r="B40" t="inlineStr">
        <is>
          <t>Teri Bayliss</t>
        </is>
      </c>
      <c r="C40" t="inlineStr">
        <is>
          <t>Reifen Racing</t>
        </is>
      </c>
      <c r="D40" t="inlineStr">
        <is>
          <t>142</t>
        </is>
      </c>
      <c r="E40" s="2">
        <f>HYPERLINK("https://www.britishcycling.org.uk/points?person_id=108690&amp;year=2024&amp;type=national&amp;d=6","Results")</f>
        <v/>
      </c>
    </row>
    <row r="41">
      <c r="A41" t="inlineStr">
        <is>
          <t>40</t>
        </is>
      </c>
      <c r="B41" t="inlineStr">
        <is>
          <t>Hannah Schneider</t>
        </is>
      </c>
      <c r="C41" t="inlineStr">
        <is>
          <t>LDN - WMN</t>
        </is>
      </c>
      <c r="D41" t="inlineStr">
        <is>
          <t>137</t>
        </is>
      </c>
      <c r="E41" s="2">
        <f>HYPERLINK("https://www.britishcycling.org.uk/points?person_id=211247&amp;year=2024&amp;type=national&amp;d=6","Results")</f>
        <v/>
      </c>
    </row>
    <row r="42">
      <c r="A42" t="inlineStr">
        <is>
          <t>41</t>
        </is>
      </c>
      <c r="B42" t="inlineStr">
        <is>
          <t>Wendy Mathie</t>
        </is>
      </c>
      <c r="C42" t="inlineStr">
        <is>
          <t>Penge Cycle Club</t>
        </is>
      </c>
      <c r="D42" t="inlineStr">
        <is>
          <t>133</t>
        </is>
      </c>
      <c r="E42" s="2">
        <f>HYPERLINK("https://www.britishcycling.org.uk/points?person_id=944357&amp;year=2024&amp;type=national&amp;d=6","Results")</f>
        <v/>
      </c>
    </row>
    <row r="43">
      <c r="A43" t="inlineStr">
        <is>
          <t>42</t>
        </is>
      </c>
      <c r="B43" t="inlineStr">
        <is>
          <t>Karen Heppenstall</t>
        </is>
      </c>
      <c r="C43" t="inlineStr">
        <is>
          <t>Grity Race Team</t>
        </is>
      </c>
      <c r="D43" t="inlineStr">
        <is>
          <t>132</t>
        </is>
      </c>
      <c r="E43" s="2">
        <f>HYPERLINK("https://www.britishcycling.org.uk/points?person_id=116361&amp;year=2024&amp;type=national&amp;d=6","Results")</f>
        <v/>
      </c>
    </row>
    <row r="44">
      <c r="A44" t="inlineStr">
        <is>
          <t>43</t>
        </is>
      </c>
      <c r="B44" t="inlineStr">
        <is>
          <t>Lydia Brookes</t>
        </is>
      </c>
      <c r="C44" t="inlineStr">
        <is>
          <t>Beeline Bicycles - Sorb</t>
        </is>
      </c>
      <c r="D44" t="inlineStr">
        <is>
          <t>127</t>
        </is>
      </c>
      <c r="E44" s="2">
        <f>HYPERLINK("https://www.britishcycling.org.uk/points?person_id=272508&amp;year=2024&amp;type=national&amp;d=6","Results")</f>
        <v/>
      </c>
    </row>
    <row r="45">
      <c r="A45" t="inlineStr">
        <is>
          <t>44</t>
        </is>
      </c>
      <c r="B45" t="inlineStr">
        <is>
          <t>Ailsa Curtis</t>
        </is>
      </c>
      <c r="C45" t="inlineStr">
        <is>
          <t>West Lothian Clarion CC</t>
        </is>
      </c>
      <c r="D45" t="inlineStr">
        <is>
          <t>126</t>
        </is>
      </c>
      <c r="E45" s="2">
        <f>HYPERLINK("https://www.britishcycling.org.uk/points?person_id=75525&amp;year=2024&amp;type=national&amp;d=6","Results")</f>
        <v/>
      </c>
    </row>
    <row r="46">
      <c r="A46" t="inlineStr">
        <is>
          <t>45</t>
        </is>
      </c>
      <c r="B46" t="inlineStr">
        <is>
          <t>Madeleine Pope</t>
        </is>
      </c>
      <c r="C46" t="inlineStr">
        <is>
          <t>KICC</t>
        </is>
      </c>
      <c r="D46" t="inlineStr">
        <is>
          <t>126</t>
        </is>
      </c>
      <c r="E46" s="2">
        <f>HYPERLINK("https://www.britishcycling.org.uk/points?person_id=6793&amp;year=2024&amp;type=national&amp;d=6","Results")</f>
        <v/>
      </c>
    </row>
    <row r="47">
      <c r="A47" t="inlineStr">
        <is>
          <t>46</t>
        </is>
      </c>
      <c r="B47" t="inlineStr">
        <is>
          <t>Ruth Taylor</t>
        </is>
      </c>
      <c r="C47" t="inlineStr">
        <is>
          <t>Element Cycling Team</t>
        </is>
      </c>
      <c r="D47" t="inlineStr">
        <is>
          <t>126</t>
        </is>
      </c>
      <c r="E47" s="2">
        <f>HYPERLINK("https://www.britishcycling.org.uk/points?person_id=139134&amp;year=2024&amp;type=national&amp;d=6","Results")</f>
        <v/>
      </c>
    </row>
    <row r="48">
      <c r="A48" t="inlineStr">
        <is>
          <t>47</t>
        </is>
      </c>
      <c r="B48" t="inlineStr">
        <is>
          <t>Kristin Stolpe</t>
        </is>
      </c>
      <c r="C48" t="inlineStr">
        <is>
          <t>Verulam - reallymoving.com</t>
        </is>
      </c>
      <c r="D48" t="inlineStr">
        <is>
          <t>122</t>
        </is>
      </c>
      <c r="E48" s="2">
        <f>HYPERLINK("https://www.britishcycling.org.uk/points?person_id=578079&amp;year=2024&amp;type=national&amp;d=6","Results")</f>
        <v/>
      </c>
    </row>
    <row r="49">
      <c r="A49" t="inlineStr">
        <is>
          <t>48</t>
        </is>
      </c>
      <c r="B49" t="inlineStr">
        <is>
          <t>Ruth Stapleton</t>
        </is>
      </c>
      <c r="C49" t="inlineStr">
        <is>
          <t>Newhall.cc</t>
        </is>
      </c>
      <c r="D49" t="inlineStr">
        <is>
          <t>119</t>
        </is>
      </c>
      <c r="E49" s="2">
        <f>HYPERLINK("https://www.britishcycling.org.uk/points?person_id=253328&amp;year=2024&amp;type=national&amp;d=6","Results")</f>
        <v/>
      </c>
    </row>
    <row r="50">
      <c r="A50" t="inlineStr">
        <is>
          <t>49</t>
        </is>
      </c>
      <c r="B50" t="inlineStr">
        <is>
          <t>Michelle Paget</t>
        </is>
      </c>
      <c r="C50" t="inlineStr">
        <is>
          <t>Peddlamaniacs Cycle Club</t>
        </is>
      </c>
      <c r="D50" t="inlineStr">
        <is>
          <t>112</t>
        </is>
      </c>
      <c r="E50" s="2">
        <f>HYPERLINK("https://www.britishcycling.org.uk/points?person_id=98016&amp;year=2024&amp;type=national&amp;d=6","Results")</f>
        <v/>
      </c>
    </row>
    <row r="51">
      <c r="A51" t="inlineStr">
        <is>
          <t>50</t>
        </is>
      </c>
      <c r="B51" t="inlineStr">
        <is>
          <t>Hannah Nicholson</t>
        </is>
      </c>
      <c r="C51" t="inlineStr"/>
      <c r="D51" t="inlineStr">
        <is>
          <t>110</t>
        </is>
      </c>
      <c r="E51" s="2">
        <f>HYPERLINK("https://www.britishcycling.org.uk/points?person_id=1129982&amp;year=2024&amp;type=national&amp;d=6","Results")</f>
        <v/>
      </c>
    </row>
    <row r="52">
      <c r="A52" t="inlineStr">
        <is>
          <t>51</t>
        </is>
      </c>
      <c r="B52" t="inlineStr">
        <is>
          <t>Jaime Nicholson</t>
        </is>
      </c>
      <c r="C52" t="inlineStr">
        <is>
          <t>Hoddom Velo</t>
        </is>
      </c>
      <c r="D52" t="inlineStr">
        <is>
          <t>108</t>
        </is>
      </c>
      <c r="E52" s="2">
        <f>HYPERLINK("https://www.britishcycling.org.uk/points?person_id=359776&amp;year=2024&amp;type=national&amp;d=6","Results")</f>
        <v/>
      </c>
    </row>
    <row r="53">
      <c r="A53" t="inlineStr">
        <is>
          <t>52</t>
        </is>
      </c>
      <c r="B53" t="inlineStr">
        <is>
          <t>Becky Robertson</t>
        </is>
      </c>
      <c r="C53" t="inlineStr">
        <is>
          <t>Epic Orange Race Team</t>
        </is>
      </c>
      <c r="D53" t="inlineStr">
        <is>
          <t>105</t>
        </is>
      </c>
      <c r="E53" s="2">
        <f>HYPERLINK("https://www.britishcycling.org.uk/points?person_id=750254&amp;year=2024&amp;type=national&amp;d=6","Results")</f>
        <v/>
      </c>
    </row>
    <row r="54">
      <c r="A54" t="inlineStr">
        <is>
          <t>53</t>
        </is>
      </c>
      <c r="B54" t="inlineStr">
        <is>
          <t>Sophie Halhead</t>
        </is>
      </c>
      <c r="C54" t="inlineStr"/>
      <c r="D54" t="inlineStr">
        <is>
          <t>98</t>
        </is>
      </c>
      <c r="E54" s="2">
        <f>HYPERLINK("https://www.britishcycling.org.uk/points?person_id=545991&amp;year=2024&amp;type=national&amp;d=6","Results")</f>
        <v/>
      </c>
    </row>
    <row r="55">
      <c r="A55" t="inlineStr">
        <is>
          <t>54</t>
        </is>
      </c>
      <c r="B55" t="inlineStr">
        <is>
          <t>Alex Bevan</t>
        </is>
      </c>
      <c r="C55" t="inlineStr">
        <is>
          <t>Gannet CC</t>
        </is>
      </c>
      <c r="D55" t="inlineStr">
        <is>
          <t>96</t>
        </is>
      </c>
      <c r="E55" s="2">
        <f>HYPERLINK("https://www.britishcycling.org.uk/points?person_id=1042763&amp;year=2024&amp;type=national&amp;d=6","Results")</f>
        <v/>
      </c>
    </row>
    <row r="56">
      <c r="A56" t="inlineStr">
        <is>
          <t>55</t>
        </is>
      </c>
      <c r="B56" t="inlineStr">
        <is>
          <t>Lucy Driver</t>
        </is>
      </c>
      <c r="C56" t="inlineStr">
        <is>
          <t>Bridgwater Cycling Club</t>
        </is>
      </c>
      <c r="D56" t="inlineStr">
        <is>
          <t>96</t>
        </is>
      </c>
      <c r="E56" s="2">
        <f>HYPERLINK("https://www.britishcycling.org.uk/points?person_id=446984&amp;year=2024&amp;type=national&amp;d=6","Results")</f>
        <v/>
      </c>
    </row>
    <row r="57">
      <c r="A57" t="inlineStr">
        <is>
          <t>56</t>
        </is>
      </c>
      <c r="B57" t="inlineStr">
        <is>
          <t>Jo Pope</t>
        </is>
      </c>
      <c r="C57" t="inlineStr"/>
      <c r="D57" t="inlineStr">
        <is>
          <t>96</t>
        </is>
      </c>
      <c r="E57" s="2">
        <f>HYPERLINK("https://www.britishcycling.org.uk/points?person_id=896039&amp;year=2024&amp;type=national&amp;d=6","Results")</f>
        <v/>
      </c>
    </row>
    <row r="58">
      <c r="A58" t="inlineStr">
        <is>
          <t>57</t>
        </is>
      </c>
      <c r="B58" t="inlineStr">
        <is>
          <t>Zoe Snow</t>
        </is>
      </c>
      <c r="C58" t="inlineStr">
        <is>
          <t>Liss Cycling Club</t>
        </is>
      </c>
      <c r="D58" t="inlineStr">
        <is>
          <t>87</t>
        </is>
      </c>
      <c r="E58" s="2">
        <f>HYPERLINK("https://www.britishcycling.org.uk/points?person_id=735848&amp;year=2024&amp;type=national&amp;d=6","Results")</f>
        <v/>
      </c>
    </row>
    <row r="59">
      <c r="A59" t="inlineStr">
        <is>
          <t>58</t>
        </is>
      </c>
      <c r="B59" t="inlineStr">
        <is>
          <t>Katie Styles</t>
        </is>
      </c>
      <c r="C59" t="inlineStr">
        <is>
          <t>Brixton Cycles Club</t>
        </is>
      </c>
      <c r="D59" t="inlineStr">
        <is>
          <t>86</t>
        </is>
      </c>
      <c r="E59" s="2">
        <f>HYPERLINK("https://www.britishcycling.org.uk/points?person_id=465498&amp;year=2024&amp;type=national&amp;d=6","Results")</f>
        <v/>
      </c>
    </row>
    <row r="60">
      <c r="A60" t="inlineStr">
        <is>
          <t>59</t>
        </is>
      </c>
      <c r="B60" t="inlineStr">
        <is>
          <t>Kate Robson</t>
        </is>
      </c>
      <c r="C60" t="inlineStr">
        <is>
          <t>Pedalon.co.uk</t>
        </is>
      </c>
      <c r="D60" t="inlineStr">
        <is>
          <t>78</t>
        </is>
      </c>
      <c r="E60" s="2">
        <f>HYPERLINK("https://www.britishcycling.org.uk/points?person_id=614714&amp;year=2024&amp;type=national&amp;d=6","Results")</f>
        <v/>
      </c>
    </row>
    <row r="61">
      <c r="A61" t="inlineStr">
        <is>
          <t>60</t>
        </is>
      </c>
      <c r="B61" t="inlineStr">
        <is>
          <t>Nikola Matthews</t>
        </is>
      </c>
      <c r="C61" t="inlineStr">
        <is>
          <t>Shibden Cycling Club</t>
        </is>
      </c>
      <c r="D61" t="inlineStr">
        <is>
          <t>72</t>
        </is>
      </c>
      <c r="E61" s="2">
        <f>HYPERLINK("https://www.britishcycling.org.uk/points?person_id=104952&amp;year=2024&amp;type=national&amp;d=6","Results")</f>
        <v/>
      </c>
    </row>
    <row r="62">
      <c r="A62" t="inlineStr">
        <is>
          <t>61</t>
        </is>
      </c>
      <c r="B62" t="inlineStr">
        <is>
          <t>Laura Lawson</t>
        </is>
      </c>
      <c r="C62" t="inlineStr">
        <is>
          <t>Velobants.cc</t>
        </is>
      </c>
      <c r="D62" t="inlineStr">
        <is>
          <t>65</t>
        </is>
      </c>
      <c r="E62" s="2">
        <f>HYPERLINK("https://www.britishcycling.org.uk/points?person_id=130359&amp;year=2024&amp;type=national&amp;d=6","Results")</f>
        <v/>
      </c>
    </row>
    <row r="63">
      <c r="A63" t="inlineStr">
        <is>
          <t>62</t>
        </is>
      </c>
      <c r="B63" t="inlineStr">
        <is>
          <t>Chloe Parrington</t>
        </is>
      </c>
      <c r="C63" t="inlineStr">
        <is>
          <t>Red Rose Olympic CC</t>
        </is>
      </c>
      <c r="D63" t="inlineStr">
        <is>
          <t>65</t>
        </is>
      </c>
      <c r="E63" s="2">
        <f>HYPERLINK("https://www.britishcycling.org.uk/points?person_id=43777&amp;year=2024&amp;type=national&amp;d=6","Results")</f>
        <v/>
      </c>
    </row>
    <row r="64">
      <c r="A64" t="inlineStr">
        <is>
          <t>63</t>
        </is>
      </c>
      <c r="B64" t="inlineStr">
        <is>
          <t>Rebecca Parish</t>
        </is>
      </c>
      <c r="C64" t="inlineStr">
        <is>
          <t>Ilkeston Cycle Club</t>
        </is>
      </c>
      <c r="D64" t="inlineStr">
        <is>
          <t>64</t>
        </is>
      </c>
      <c r="E64" s="2">
        <f>HYPERLINK("https://www.britishcycling.org.uk/points?person_id=1026847&amp;year=2024&amp;type=national&amp;d=6","Results")</f>
        <v/>
      </c>
    </row>
    <row r="65">
      <c r="A65" t="inlineStr">
        <is>
          <t>64</t>
        </is>
      </c>
      <c r="B65" t="inlineStr">
        <is>
          <t>Alison Banford</t>
        </is>
      </c>
      <c r="C65" t="inlineStr"/>
      <c r="D65" t="inlineStr">
        <is>
          <t>60</t>
        </is>
      </c>
      <c r="E65" s="2">
        <f>HYPERLINK("https://www.britishcycling.org.uk/points?person_id=1130120&amp;year=2024&amp;type=national&amp;d=6","Results")</f>
        <v/>
      </c>
    </row>
    <row r="66">
      <c r="A66" t="inlineStr">
        <is>
          <t>65</t>
        </is>
      </c>
      <c r="B66" t="inlineStr">
        <is>
          <t>Nicola Powell</t>
        </is>
      </c>
      <c r="C66" t="inlineStr">
        <is>
          <t>Stowmarket &amp; District CC</t>
        </is>
      </c>
      <c r="D66" t="inlineStr">
        <is>
          <t>56</t>
        </is>
      </c>
      <c r="E66" s="2">
        <f>HYPERLINK("https://www.britishcycling.org.uk/points?person_id=506772&amp;year=2024&amp;type=national&amp;d=6","Results")</f>
        <v/>
      </c>
    </row>
    <row r="67">
      <c r="A67" t="inlineStr">
        <is>
          <t>66</t>
        </is>
      </c>
      <c r="B67" t="inlineStr">
        <is>
          <t>Janine Inman</t>
        </is>
      </c>
      <c r="C67" t="inlineStr">
        <is>
          <t>Stirling Bike Club</t>
        </is>
      </c>
      <c r="D67" t="inlineStr">
        <is>
          <t>52</t>
        </is>
      </c>
      <c r="E67" s="2">
        <f>HYPERLINK("https://www.britishcycling.org.uk/points?person_id=407355&amp;year=2024&amp;type=national&amp;d=6","Results")</f>
        <v/>
      </c>
    </row>
    <row r="68">
      <c r="A68" t="inlineStr">
        <is>
          <t>67</t>
        </is>
      </c>
      <c r="B68" t="inlineStr">
        <is>
          <t>Marie Meldrum</t>
        </is>
      </c>
      <c r="C68" t="inlineStr">
        <is>
          <t>Nevis Cycles Racing Team</t>
        </is>
      </c>
      <c r="D68" t="inlineStr">
        <is>
          <t>44</t>
        </is>
      </c>
      <c r="E68" s="2">
        <f>HYPERLINK("https://www.britishcycling.org.uk/points?person_id=266383&amp;year=2024&amp;type=national&amp;d=6","Results")</f>
        <v/>
      </c>
    </row>
    <row r="69">
      <c r="A69" t="inlineStr">
        <is>
          <t>68</t>
        </is>
      </c>
      <c r="B69" t="inlineStr">
        <is>
          <t>Kristen Lovelock</t>
        </is>
      </c>
      <c r="C69" t="inlineStr">
        <is>
          <t>Cowley Road Condors</t>
        </is>
      </c>
      <c r="D69" t="inlineStr">
        <is>
          <t>42</t>
        </is>
      </c>
      <c r="E69" s="2">
        <f>HYPERLINK("https://www.britishcycling.org.uk/points?person_id=545693&amp;year=2024&amp;type=national&amp;d=6","Results")</f>
        <v/>
      </c>
    </row>
    <row r="70">
      <c r="A70" t="inlineStr">
        <is>
          <t>69</t>
        </is>
      </c>
      <c r="B70" t="inlineStr">
        <is>
          <t>Sandra Scally</t>
        </is>
      </c>
      <c r="C70" t="inlineStr">
        <is>
          <t>Hervelo Cycling</t>
        </is>
      </c>
      <c r="D70" t="inlineStr">
        <is>
          <t>40</t>
        </is>
      </c>
      <c r="E70" s="2">
        <f>HYPERLINK("https://www.britishcycling.org.uk/points?person_id=107945&amp;year=2024&amp;type=national&amp;d=6","Results")</f>
        <v/>
      </c>
    </row>
    <row r="71">
      <c r="A71" t="inlineStr">
        <is>
          <t>70</t>
        </is>
      </c>
      <c r="B71" t="inlineStr">
        <is>
          <t>Hannah Alton</t>
        </is>
      </c>
      <c r="C71" t="inlineStr">
        <is>
          <t>Brixton Cycles Club</t>
        </is>
      </c>
      <c r="D71" t="inlineStr">
        <is>
          <t>39</t>
        </is>
      </c>
      <c r="E71" s="2">
        <f>HYPERLINK("https://www.britishcycling.org.uk/points?person_id=1010795&amp;year=2024&amp;type=national&amp;d=6","Results")</f>
        <v/>
      </c>
    </row>
    <row r="72">
      <c r="A72" t="inlineStr">
        <is>
          <t>71</t>
        </is>
      </c>
      <c r="B72" t="inlineStr">
        <is>
          <t>Rachael Connall</t>
        </is>
      </c>
      <c r="C72" t="inlineStr">
        <is>
          <t>Velobants.cc</t>
        </is>
      </c>
      <c r="D72" t="inlineStr">
        <is>
          <t>36</t>
        </is>
      </c>
      <c r="E72" s="2">
        <f>HYPERLINK("https://www.britishcycling.org.uk/points?person_id=737066&amp;year=2024&amp;type=national&amp;d=6","Results")</f>
        <v/>
      </c>
    </row>
    <row r="73">
      <c r="A73" t="inlineStr">
        <is>
          <t>72</t>
        </is>
      </c>
      <c r="B73" t="inlineStr">
        <is>
          <t>Zofia Lisowski</t>
        </is>
      </c>
      <c r="C73" t="inlineStr">
        <is>
          <t>Peebles CC</t>
        </is>
      </c>
      <c r="D73" t="inlineStr">
        <is>
          <t>32</t>
        </is>
      </c>
      <c r="E73" s="2">
        <f>HYPERLINK("https://www.britishcycling.org.uk/points?person_id=1032701&amp;year=2024&amp;type=national&amp;d=6","Results")</f>
        <v/>
      </c>
    </row>
    <row r="74">
      <c r="A74" t="inlineStr">
        <is>
          <t>73</t>
        </is>
      </c>
      <c r="B74" t="inlineStr">
        <is>
          <t>Samantha Fawcett</t>
        </is>
      </c>
      <c r="C74" t="inlineStr">
        <is>
          <t>Spectra Racing p/b DAS</t>
        </is>
      </c>
      <c r="D74" t="inlineStr">
        <is>
          <t>30</t>
        </is>
      </c>
      <c r="E74" s="2">
        <f>HYPERLINK("https://www.britishcycling.org.uk/points?person_id=532289&amp;year=2024&amp;type=national&amp;d=6","Results")</f>
        <v/>
      </c>
    </row>
    <row r="75">
      <c r="A75" t="inlineStr">
        <is>
          <t>74</t>
        </is>
      </c>
      <c r="B75" t="inlineStr">
        <is>
          <t>Rebecca Cornwell</t>
        </is>
      </c>
      <c r="C75" t="inlineStr">
        <is>
          <t>North Devon Velo</t>
        </is>
      </c>
      <c r="D75" t="inlineStr">
        <is>
          <t>27</t>
        </is>
      </c>
      <c r="E75" s="2">
        <f>HYPERLINK("https://www.britishcycling.org.uk/points?person_id=308240&amp;year=2024&amp;type=national&amp;d=6","Results")</f>
        <v/>
      </c>
    </row>
    <row r="76">
      <c r="A76" t="inlineStr">
        <is>
          <t>75</t>
        </is>
      </c>
      <c r="B76" t="inlineStr">
        <is>
          <t>Aileen Laing</t>
        </is>
      </c>
      <c r="C76" t="inlineStr"/>
      <c r="D76" t="inlineStr">
        <is>
          <t>26</t>
        </is>
      </c>
      <c r="E76" s="2">
        <f>HYPERLINK("https://www.britishcycling.org.uk/points?person_id=766938&amp;year=2024&amp;type=national&amp;d=6","Results")</f>
        <v/>
      </c>
    </row>
    <row r="77">
      <c r="A77" t="inlineStr">
        <is>
          <t>76</t>
        </is>
      </c>
      <c r="B77" t="inlineStr">
        <is>
          <t>Caroline Summers</t>
        </is>
      </c>
      <c r="C77" t="inlineStr"/>
      <c r="D77" t="inlineStr">
        <is>
          <t>26</t>
        </is>
      </c>
      <c r="E77" s="2">
        <f>HYPERLINK("https://www.britishcycling.org.uk/points?person_id=1111618&amp;year=2024&amp;type=national&amp;d=6","Results")</f>
        <v/>
      </c>
    </row>
    <row r="78">
      <c r="A78" t="inlineStr">
        <is>
          <t>77</t>
        </is>
      </c>
      <c r="B78" t="inlineStr">
        <is>
          <t>Anna Buckland</t>
        </is>
      </c>
      <c r="C78" t="inlineStr">
        <is>
          <t>Cardiff Ajax CC</t>
        </is>
      </c>
      <c r="D78" t="inlineStr">
        <is>
          <t>24</t>
        </is>
      </c>
      <c r="E78" s="2">
        <f>HYPERLINK("https://www.britishcycling.org.uk/points?person_id=667548&amp;year=2024&amp;type=national&amp;d=6","Results")</f>
        <v/>
      </c>
    </row>
    <row r="79">
      <c r="A79" t="inlineStr">
        <is>
          <t>78</t>
        </is>
      </c>
      <c r="B79" t="inlineStr">
        <is>
          <t>Rachel Collins</t>
        </is>
      </c>
      <c r="C79" t="inlineStr">
        <is>
          <t>PDQ Cycle Coaching Property Elite</t>
        </is>
      </c>
      <c r="D79" t="inlineStr">
        <is>
          <t>24</t>
        </is>
      </c>
      <c r="E79" s="2">
        <f>HYPERLINK("https://www.britishcycling.org.uk/points?person_id=1125348&amp;year=2024&amp;type=national&amp;d=6","Results")</f>
        <v/>
      </c>
    </row>
    <row r="80">
      <c r="A80" t="inlineStr">
        <is>
          <t>79</t>
        </is>
      </c>
      <c r="B80" t="inlineStr">
        <is>
          <t>Celia Doyle</t>
        </is>
      </c>
      <c r="C80" t="inlineStr">
        <is>
          <t>Beacon Roads CC</t>
        </is>
      </c>
      <c r="D80" t="inlineStr">
        <is>
          <t>24</t>
        </is>
      </c>
      <c r="E80" s="2">
        <f>HYPERLINK("https://www.britishcycling.org.uk/points?person_id=35533&amp;year=2024&amp;type=national&amp;d=6","Results")</f>
        <v/>
      </c>
    </row>
    <row r="81">
      <c r="A81" t="inlineStr">
        <is>
          <t>80</t>
        </is>
      </c>
      <c r="B81" t="inlineStr">
        <is>
          <t>Vicki Woodburn</t>
        </is>
      </c>
      <c r="C81" t="inlineStr">
        <is>
          <t>Team Andrew Allan Architecture</t>
        </is>
      </c>
      <c r="D81" t="inlineStr">
        <is>
          <t>24</t>
        </is>
      </c>
      <c r="E81" s="2">
        <f>HYPERLINK("https://www.britishcycling.org.uk/points?person_id=736992&amp;year=2024&amp;type=national&amp;d=6","Results")</f>
        <v/>
      </c>
    </row>
    <row r="82">
      <c r="A82" t="inlineStr">
        <is>
          <t>81</t>
        </is>
      </c>
      <c r="B82" t="inlineStr">
        <is>
          <t>Sarah Darch</t>
        </is>
      </c>
      <c r="C82" t="inlineStr">
        <is>
          <t>Hillingdon Triathletes</t>
        </is>
      </c>
      <c r="D82" t="inlineStr">
        <is>
          <t>22</t>
        </is>
      </c>
      <c r="E82" s="2">
        <f>HYPERLINK("https://www.britishcycling.org.uk/points?person_id=257991&amp;year=2024&amp;type=national&amp;d=6","Results")</f>
        <v/>
      </c>
    </row>
    <row r="83">
      <c r="A83" t="inlineStr">
        <is>
          <t>82</t>
        </is>
      </c>
      <c r="B83" t="inlineStr">
        <is>
          <t>Hannah Quay</t>
        </is>
      </c>
      <c r="C83" t="inlineStr">
        <is>
          <t>Reading CC</t>
        </is>
      </c>
      <c r="D83" t="inlineStr">
        <is>
          <t>21</t>
        </is>
      </c>
      <c r="E83" s="2">
        <f>HYPERLINK("https://www.britishcycling.org.uk/points?person_id=850579&amp;year=2024&amp;type=national&amp;d=6","Results")</f>
        <v/>
      </c>
    </row>
    <row r="84">
      <c r="A84" t="inlineStr">
        <is>
          <t>83</t>
        </is>
      </c>
      <c r="B84" t="inlineStr">
        <is>
          <t>Jenny Love</t>
        </is>
      </c>
      <c r="C84" t="inlineStr">
        <is>
          <t>Cardiff Ajax CC</t>
        </is>
      </c>
      <c r="D84" t="inlineStr">
        <is>
          <t>16</t>
        </is>
      </c>
      <c r="E84" s="2">
        <f>HYPERLINK("https://www.britishcycling.org.uk/points?person_id=1158239&amp;year=2024&amp;type=national&amp;d=6","Results")</f>
        <v/>
      </c>
    </row>
    <row r="85">
      <c r="A85" t="inlineStr">
        <is>
          <t>84</t>
        </is>
      </c>
      <c r="B85" t="inlineStr">
        <is>
          <t>Zoe Robinson</t>
        </is>
      </c>
      <c r="C85" t="inlineStr">
        <is>
          <t>Army Cycling Union</t>
        </is>
      </c>
      <c r="D85" t="inlineStr">
        <is>
          <t>14</t>
        </is>
      </c>
      <c r="E85" s="2">
        <f>HYPERLINK("https://www.britishcycling.org.uk/points?person_id=510110&amp;year=2024&amp;type=national&amp;d=6","Results")</f>
        <v/>
      </c>
    </row>
  </sheetData>
  <pageMargins left="0.75" right="0.75" top="1" bottom="1" header="0.5" footer="0.5"/>
</worksheet>
</file>

<file path=xl/worksheets/sheet13.xml><?xml version="1.0" encoding="utf-8"?>
<worksheet xmlns="http://schemas.openxmlformats.org/spreadsheetml/2006/main">
  <sheetPr>
    <outlinePr summaryBelow="1" summaryRight="1"/>
    <pageSetUpPr/>
  </sheetPr>
  <dimension ref="A1:F62"/>
  <sheetViews>
    <sheetView workbookViewId="0">
      <selection activeCell="A1" sqref="A1"/>
    </sheetView>
  </sheetViews>
  <sheetFormatPr baseColWidth="8" defaultRowHeight="15"/>
  <cols>
    <col width="8" customWidth="1" min="1" max="1"/>
    <col width="25" customWidth="1" min="2" max="2"/>
    <col width="50" customWidth="1" min="3" max="3"/>
    <col width="7" customWidth="1" min="4" max="4"/>
    <col width="20" customWidth="1" min="5" max="5"/>
  </cols>
  <sheetData>
    <row r="1">
      <c r="A1" s="1" t="inlineStr">
        <is>
          <t>Ranking</t>
        </is>
      </c>
      <c r="B1" s="1" t="inlineStr">
        <is>
          <t>Name</t>
        </is>
      </c>
      <c r="C1" s="1" t="inlineStr">
        <is>
          <t>Club/Team</t>
        </is>
      </c>
      <c r="D1" s="1" t="inlineStr">
        <is>
          <t>Points</t>
        </is>
      </c>
      <c r="E1" s="1" t="inlineStr">
        <is>
          <t>Detail (click)</t>
        </is>
      </c>
      <c r="F1" s="1" t="inlineStr">
        <is>
          <t>Updated: 2024-12-20</t>
        </is>
      </c>
    </row>
    <row r="2">
      <c r="A2" t="inlineStr">
        <is>
          <t>1</t>
        </is>
      </c>
      <c r="B2" t="inlineStr">
        <is>
          <t>Vickie Wilkinson</t>
        </is>
      </c>
      <c r="C2" t="inlineStr">
        <is>
          <t>Cheltenham &amp; County Cycling Club</t>
        </is>
      </c>
      <c r="D2" t="inlineStr">
        <is>
          <t>500</t>
        </is>
      </c>
      <c r="E2" s="2">
        <f>HYPERLINK("https://www.britishcycling.org.uk/points?person_id=352359&amp;year=2024&amp;type=national&amp;d=6","Results")</f>
        <v/>
      </c>
    </row>
    <row r="3">
      <c r="A3" t="inlineStr">
        <is>
          <t>2</t>
        </is>
      </c>
      <c r="B3" t="inlineStr">
        <is>
          <t>Sarah Craig</t>
        </is>
      </c>
      <c r="C3" t="inlineStr">
        <is>
          <t>Ride for Charlie</t>
        </is>
      </c>
      <c r="D3" t="inlineStr">
        <is>
          <t>471</t>
        </is>
      </c>
      <c r="E3" s="2">
        <f>HYPERLINK("https://www.britishcycling.org.uk/points?person_id=1136187&amp;year=2024&amp;type=national&amp;d=6","Results")</f>
        <v/>
      </c>
    </row>
    <row r="4">
      <c r="A4" t="inlineStr">
        <is>
          <t>3</t>
        </is>
      </c>
      <c r="B4" t="inlineStr">
        <is>
          <t>Catherine Kilburn</t>
        </is>
      </c>
      <c r="C4" t="inlineStr">
        <is>
          <t>Mid Devon CC</t>
        </is>
      </c>
      <c r="D4" t="inlineStr">
        <is>
          <t>444</t>
        </is>
      </c>
      <c r="E4" s="2">
        <f>HYPERLINK("https://www.britishcycling.org.uk/points?person_id=313214&amp;year=2024&amp;type=national&amp;d=6","Results")</f>
        <v/>
      </c>
    </row>
    <row r="5">
      <c r="A5" t="inlineStr">
        <is>
          <t>4</t>
        </is>
      </c>
      <c r="B5" t="inlineStr">
        <is>
          <t>Helen Pattinson</t>
        </is>
      </c>
      <c r="C5" t="inlineStr">
        <is>
          <t>Montezuma's Eventrex Race Team</t>
        </is>
      </c>
      <c r="D5" t="inlineStr">
        <is>
          <t>374</t>
        </is>
      </c>
      <c r="E5" s="2">
        <f>HYPERLINK("https://www.britishcycling.org.uk/points?person_id=240019&amp;year=2024&amp;type=national&amp;d=6","Results")</f>
        <v/>
      </c>
    </row>
    <row r="6">
      <c r="A6" t="inlineStr">
        <is>
          <t>5</t>
        </is>
      </c>
      <c r="B6" t="inlineStr">
        <is>
          <t>Lucy Siddle</t>
        </is>
      </c>
      <c r="C6" t="inlineStr">
        <is>
          <t>Reifen Racing</t>
        </is>
      </c>
      <c r="D6" t="inlineStr">
        <is>
          <t>338</t>
        </is>
      </c>
      <c r="E6" s="2">
        <f>HYPERLINK("https://www.britishcycling.org.uk/points?person_id=400718&amp;year=2024&amp;type=national&amp;d=6","Results")</f>
        <v/>
      </c>
    </row>
    <row r="7">
      <c r="A7" t="inlineStr">
        <is>
          <t>6</t>
        </is>
      </c>
      <c r="B7" t="inlineStr">
        <is>
          <t>Helen Kirk</t>
        </is>
      </c>
      <c r="C7" t="inlineStr">
        <is>
          <t>Matlock CC</t>
        </is>
      </c>
      <c r="D7" t="inlineStr">
        <is>
          <t>318</t>
        </is>
      </c>
      <c r="E7" s="2">
        <f>HYPERLINK("https://www.britishcycling.org.uk/points?person_id=1125571&amp;year=2024&amp;type=national&amp;d=6","Results")</f>
        <v/>
      </c>
    </row>
    <row r="8">
      <c r="A8" t="inlineStr">
        <is>
          <t>7</t>
        </is>
      </c>
      <c r="B8" t="inlineStr">
        <is>
          <t>Deborah Smith</t>
        </is>
      </c>
      <c r="C8" t="inlineStr">
        <is>
          <t>Nova Race Team</t>
        </is>
      </c>
      <c r="D8" t="inlineStr">
        <is>
          <t>298</t>
        </is>
      </c>
      <c r="E8" s="2">
        <f>HYPERLINK("https://www.britishcycling.org.uk/points?person_id=643247&amp;year=2024&amp;type=national&amp;d=6","Results")</f>
        <v/>
      </c>
    </row>
    <row r="9">
      <c r="A9" t="inlineStr">
        <is>
          <t>8</t>
        </is>
      </c>
      <c r="B9" t="inlineStr">
        <is>
          <t>Miriam Whitehurst</t>
        </is>
      </c>
      <c r="C9" t="inlineStr">
        <is>
          <t>Reflex Nopinz</t>
        </is>
      </c>
      <c r="D9" t="inlineStr">
        <is>
          <t>296</t>
        </is>
      </c>
      <c r="E9" s="2">
        <f>HYPERLINK("https://www.britishcycling.org.uk/points?person_id=47153&amp;year=2024&amp;type=national&amp;d=6","Results")</f>
        <v/>
      </c>
    </row>
    <row r="10">
      <c r="A10" t="inlineStr">
        <is>
          <t>9</t>
        </is>
      </c>
      <c r="B10" t="inlineStr">
        <is>
          <t>Claire Sharp</t>
        </is>
      </c>
      <c r="C10" t="inlineStr">
        <is>
          <t>Verulam CC</t>
        </is>
      </c>
      <c r="D10" t="inlineStr">
        <is>
          <t>284</t>
        </is>
      </c>
      <c r="E10" s="2">
        <f>HYPERLINK("https://www.britishcycling.org.uk/points?person_id=304742&amp;year=2024&amp;type=national&amp;d=6","Results")</f>
        <v/>
      </c>
    </row>
    <row r="11">
      <c r="A11" t="inlineStr">
        <is>
          <t>10</t>
        </is>
      </c>
      <c r="B11" t="inlineStr">
        <is>
          <t>Zoe Codd</t>
        </is>
      </c>
      <c r="C11" t="inlineStr">
        <is>
          <t>Grity Race Team</t>
        </is>
      </c>
      <c r="D11" t="inlineStr">
        <is>
          <t>270</t>
        </is>
      </c>
      <c r="E11" s="2">
        <f>HYPERLINK("https://www.britishcycling.org.uk/points?person_id=416032&amp;year=2024&amp;type=national&amp;d=6","Results")</f>
        <v/>
      </c>
    </row>
    <row r="12">
      <c r="A12" t="inlineStr">
        <is>
          <t>11</t>
        </is>
      </c>
      <c r="B12" t="inlineStr">
        <is>
          <t>Isla Rowntree</t>
        </is>
      </c>
      <c r="C12" t="inlineStr">
        <is>
          <t>Stourbridge CC</t>
        </is>
      </c>
      <c r="D12" t="inlineStr">
        <is>
          <t>270</t>
        </is>
      </c>
      <c r="E12" s="2">
        <f>HYPERLINK("https://www.britishcycling.org.uk/points?person_id=21208&amp;year=2024&amp;type=national&amp;d=6","Results")</f>
        <v/>
      </c>
    </row>
    <row r="13">
      <c r="A13" t="inlineStr">
        <is>
          <t>12</t>
        </is>
      </c>
      <c r="B13" t="inlineStr">
        <is>
          <t>Lisa Martin</t>
        </is>
      </c>
      <c r="C13" t="inlineStr">
        <is>
          <t>Bridgwater Cycling Club</t>
        </is>
      </c>
      <c r="D13" t="inlineStr">
        <is>
          <t>262</t>
        </is>
      </c>
      <c r="E13" s="2">
        <f>HYPERLINK("https://www.britishcycling.org.uk/points?person_id=6784&amp;year=2024&amp;type=national&amp;d=6","Results")</f>
        <v/>
      </c>
    </row>
    <row r="14">
      <c r="A14" t="inlineStr">
        <is>
          <t>13</t>
        </is>
      </c>
      <c r="B14" t="inlineStr">
        <is>
          <t>Alison Kinloch</t>
        </is>
      </c>
      <c r="C14" t="inlineStr">
        <is>
          <t>Shibden Cycling Club</t>
        </is>
      </c>
      <c r="D14" t="inlineStr">
        <is>
          <t>242</t>
        </is>
      </c>
      <c r="E14" s="2">
        <f>HYPERLINK("https://www.britishcycling.org.uk/points?person_id=180763&amp;year=2024&amp;type=national&amp;d=6","Results")</f>
        <v/>
      </c>
    </row>
    <row r="15">
      <c r="A15" t="inlineStr">
        <is>
          <t>14</t>
        </is>
      </c>
      <c r="B15" t="inlineStr">
        <is>
          <t>Vikki Sivertsen</t>
        </is>
      </c>
      <c r="C15" t="inlineStr">
        <is>
          <t>Malvern Cycle Sport</t>
        </is>
      </c>
      <c r="D15" t="inlineStr">
        <is>
          <t>242</t>
        </is>
      </c>
      <c r="E15" s="2">
        <f>HYPERLINK("https://www.britishcycling.org.uk/points?person_id=1090669&amp;year=2024&amp;type=national&amp;d=6","Results")</f>
        <v/>
      </c>
    </row>
    <row r="16">
      <c r="A16" t="inlineStr">
        <is>
          <t>15</t>
        </is>
      </c>
      <c r="B16" t="inlineStr">
        <is>
          <t>Nicky Hughes</t>
        </is>
      </c>
      <c r="C16" t="inlineStr">
        <is>
          <t>Southborough &amp; District Whls</t>
        </is>
      </c>
      <c r="D16" t="inlineStr">
        <is>
          <t>232</t>
        </is>
      </c>
      <c r="E16" s="2">
        <f>HYPERLINK("https://www.britishcycling.org.uk/points?person_id=37490&amp;year=2024&amp;type=national&amp;d=6","Results")</f>
        <v/>
      </c>
    </row>
    <row r="17">
      <c r="A17" t="inlineStr">
        <is>
          <t>16</t>
        </is>
      </c>
      <c r="B17" t="inlineStr">
        <is>
          <t>Jackie Shute</t>
        </is>
      </c>
      <c r="C17" t="inlineStr">
        <is>
          <t>Mid Devon CC</t>
        </is>
      </c>
      <c r="D17" t="inlineStr">
        <is>
          <t>229</t>
        </is>
      </c>
      <c r="E17" s="2">
        <f>HYPERLINK("https://www.britishcycling.org.uk/points?person_id=395528&amp;year=2024&amp;type=national&amp;d=6","Results")</f>
        <v/>
      </c>
    </row>
    <row r="18">
      <c r="A18" t="inlineStr">
        <is>
          <t>17</t>
        </is>
      </c>
      <c r="B18" t="inlineStr">
        <is>
          <t>Nicola Kent</t>
        </is>
      </c>
      <c r="C18" t="inlineStr">
        <is>
          <t>Whitby Wheelers CC</t>
        </is>
      </c>
      <c r="D18" t="inlineStr">
        <is>
          <t>228</t>
        </is>
      </c>
      <c r="E18" s="2">
        <f>HYPERLINK("https://www.britishcycling.org.uk/points?person_id=487749&amp;year=2024&amp;type=national&amp;d=6","Results")</f>
        <v/>
      </c>
    </row>
    <row r="19">
      <c r="A19" t="inlineStr">
        <is>
          <t>18</t>
        </is>
      </c>
      <c r="B19" t="inlineStr">
        <is>
          <t>Sian Tovey</t>
        </is>
      </c>
      <c r="C19" t="inlineStr"/>
      <c r="D19" t="inlineStr">
        <is>
          <t>228</t>
        </is>
      </c>
      <c r="E19" s="2">
        <f>HYPERLINK("https://www.britishcycling.org.uk/points?person_id=71413&amp;year=2024&amp;type=national&amp;d=6","Results")</f>
        <v/>
      </c>
    </row>
    <row r="20">
      <c r="A20" t="inlineStr">
        <is>
          <t>19</t>
        </is>
      </c>
      <c r="B20" t="inlineStr">
        <is>
          <t>Jo Malpass</t>
        </is>
      </c>
      <c r="C20" t="inlineStr">
        <is>
          <t>VC Deal</t>
        </is>
      </c>
      <c r="D20" t="inlineStr">
        <is>
          <t>224</t>
        </is>
      </c>
      <c r="E20" s="2">
        <f>HYPERLINK("https://www.britishcycling.org.uk/points?person_id=277779&amp;year=2024&amp;type=national&amp;d=6","Results")</f>
        <v/>
      </c>
    </row>
    <row r="21">
      <c r="A21" t="inlineStr">
        <is>
          <t>20</t>
        </is>
      </c>
      <c r="B21" t="inlineStr">
        <is>
          <t>Danielle Petersmann</t>
        </is>
      </c>
      <c r="C21" t="inlineStr">
        <is>
          <t>VC Deal</t>
        </is>
      </c>
      <c r="D21" t="inlineStr">
        <is>
          <t>214</t>
        </is>
      </c>
      <c r="E21" s="2">
        <f>HYPERLINK("https://www.britishcycling.org.uk/points?person_id=319198&amp;year=2024&amp;type=national&amp;d=6","Results")</f>
        <v/>
      </c>
    </row>
    <row r="22">
      <c r="A22" t="inlineStr">
        <is>
          <t>21</t>
        </is>
      </c>
      <c r="B22" t="inlineStr">
        <is>
          <t>Geri Gorton</t>
        </is>
      </c>
      <c r="C22" t="inlineStr">
        <is>
          <t>Shibden Cycling Club</t>
        </is>
      </c>
      <c r="D22" t="inlineStr">
        <is>
          <t>209</t>
        </is>
      </c>
      <c r="E22" s="2">
        <f>HYPERLINK("https://www.britishcycling.org.uk/points?person_id=1040455&amp;year=2024&amp;type=national&amp;d=6","Results")</f>
        <v/>
      </c>
    </row>
    <row r="23">
      <c r="A23" t="inlineStr">
        <is>
          <t>22</t>
        </is>
      </c>
      <c r="B23" t="inlineStr">
        <is>
          <t>Pamela Challen</t>
        </is>
      </c>
      <c r="C23" t="inlineStr">
        <is>
          <t>VC VELDRIJDEN</t>
        </is>
      </c>
      <c r="D23" t="inlineStr">
        <is>
          <t>194</t>
        </is>
      </c>
      <c r="E23" s="2">
        <f>HYPERLINK("https://www.britishcycling.org.uk/points?person_id=406992&amp;year=2024&amp;type=national&amp;d=6","Results")</f>
        <v/>
      </c>
    </row>
    <row r="24">
      <c r="A24" t="inlineStr">
        <is>
          <t>23</t>
        </is>
      </c>
      <c r="B24" t="inlineStr">
        <is>
          <t>Emma Davies</t>
        </is>
      </c>
      <c r="C24" t="inlineStr">
        <is>
          <t>Port Talbot Wheelers</t>
        </is>
      </c>
      <c r="D24" t="inlineStr">
        <is>
          <t>194</t>
        </is>
      </c>
      <c r="E24" s="2">
        <f>HYPERLINK("https://www.britishcycling.org.uk/points?person_id=630823&amp;year=2024&amp;type=national&amp;d=6","Results")</f>
        <v/>
      </c>
    </row>
    <row r="25">
      <c r="A25" t="inlineStr">
        <is>
          <t>24</t>
        </is>
      </c>
      <c r="B25" t="inlineStr">
        <is>
          <t>Caroline Duffell</t>
        </is>
      </c>
      <c r="C25" t="inlineStr">
        <is>
          <t>SCOTT Pioneer DJ</t>
        </is>
      </c>
      <c r="D25" t="inlineStr">
        <is>
          <t>180</t>
        </is>
      </c>
      <c r="E25" s="2">
        <f>HYPERLINK("https://www.britishcycling.org.uk/points?person_id=41795&amp;year=2024&amp;type=national&amp;d=6","Results")</f>
        <v/>
      </c>
    </row>
    <row r="26">
      <c r="A26" t="inlineStr">
        <is>
          <t>25</t>
        </is>
      </c>
      <c r="B26" t="inlineStr">
        <is>
          <t>Maggie McPhillips</t>
        </is>
      </c>
      <c r="C26" t="inlineStr">
        <is>
          <t>Stockport Clarion CC</t>
        </is>
      </c>
      <c r="D26" t="inlineStr">
        <is>
          <t>179</t>
        </is>
      </c>
      <c r="E26" s="2">
        <f>HYPERLINK("https://www.britishcycling.org.uk/points?person_id=543783&amp;year=2024&amp;type=national&amp;d=6","Results")</f>
        <v/>
      </c>
    </row>
    <row r="27">
      <c r="A27" t="inlineStr">
        <is>
          <t>26</t>
        </is>
      </c>
      <c r="B27" t="inlineStr">
        <is>
          <t>Helen Hutchinson</t>
        </is>
      </c>
      <c r="C27" t="inlineStr">
        <is>
          <t>Derby Mercury RC</t>
        </is>
      </c>
      <c r="D27" t="inlineStr">
        <is>
          <t>166</t>
        </is>
      </c>
      <c r="E27" s="2">
        <f>HYPERLINK("https://www.britishcycling.org.uk/points?person_id=425602&amp;year=2024&amp;type=national&amp;d=6","Results")</f>
        <v/>
      </c>
    </row>
    <row r="28">
      <c r="A28" t="inlineStr">
        <is>
          <t>27</t>
        </is>
      </c>
      <c r="B28" t="inlineStr">
        <is>
          <t>Jacqui Simcock</t>
        </is>
      </c>
      <c r="C28" t="inlineStr">
        <is>
          <t>Team JMC</t>
        </is>
      </c>
      <c r="D28" t="inlineStr">
        <is>
          <t>155</t>
        </is>
      </c>
      <c r="E28" s="2">
        <f>HYPERLINK("https://www.britishcycling.org.uk/points?person_id=357380&amp;year=2024&amp;type=national&amp;d=6","Results")</f>
        <v/>
      </c>
    </row>
    <row r="29">
      <c r="A29" t="inlineStr">
        <is>
          <t>28</t>
        </is>
      </c>
      <c r="B29" t="inlineStr">
        <is>
          <t>Nadine Reilly</t>
        </is>
      </c>
      <c r="C29" t="inlineStr">
        <is>
          <t>Trilogy CC</t>
        </is>
      </c>
      <c r="D29" t="inlineStr">
        <is>
          <t>146</t>
        </is>
      </c>
      <c r="E29" s="2">
        <f>HYPERLINK("https://www.britishcycling.org.uk/points?person_id=852770&amp;year=2024&amp;type=national&amp;d=6","Results")</f>
        <v/>
      </c>
    </row>
    <row r="30">
      <c r="A30" t="inlineStr">
        <is>
          <t>29</t>
        </is>
      </c>
      <c r="B30" t="inlineStr">
        <is>
          <t>Megan Mowbray</t>
        </is>
      </c>
      <c r="C30" t="inlineStr">
        <is>
          <t>Team HUP</t>
        </is>
      </c>
      <c r="D30" t="inlineStr">
        <is>
          <t>136</t>
        </is>
      </c>
      <c r="E30" s="2">
        <f>HYPERLINK("https://www.britishcycling.org.uk/points?person_id=1139230&amp;year=2024&amp;type=national&amp;d=6","Results")</f>
        <v/>
      </c>
    </row>
    <row r="31">
      <c r="A31" t="inlineStr">
        <is>
          <t>30</t>
        </is>
      </c>
      <c r="B31" t="inlineStr">
        <is>
          <t>Caroline Harvey</t>
        </is>
      </c>
      <c r="C31" t="inlineStr">
        <is>
          <t>Peebles CC</t>
        </is>
      </c>
      <c r="D31" t="inlineStr">
        <is>
          <t>128</t>
        </is>
      </c>
      <c r="E31" s="2">
        <f>HYPERLINK("https://www.britishcycling.org.uk/points?person_id=508653&amp;year=2024&amp;type=national&amp;d=6","Results")</f>
        <v/>
      </c>
    </row>
    <row r="32">
      <c r="A32" t="inlineStr">
        <is>
          <t>31</t>
        </is>
      </c>
      <c r="B32" t="inlineStr">
        <is>
          <t>Vicky Percival</t>
        </is>
      </c>
      <c r="C32" t="inlineStr"/>
      <c r="D32" t="inlineStr">
        <is>
          <t>113</t>
        </is>
      </c>
      <c r="E32" s="2">
        <f>HYPERLINK("https://www.britishcycling.org.uk/points?person_id=534434&amp;year=2024&amp;type=national&amp;d=6","Results")</f>
        <v/>
      </c>
    </row>
    <row r="33">
      <c r="A33" t="inlineStr">
        <is>
          <t>32</t>
        </is>
      </c>
      <c r="B33" t="inlineStr">
        <is>
          <t>Clare Hoskins</t>
        </is>
      </c>
      <c r="C33" t="inlineStr">
        <is>
          <t>Cardiff JIF</t>
        </is>
      </c>
      <c r="D33" t="inlineStr">
        <is>
          <t>112</t>
        </is>
      </c>
      <c r="E33" s="2">
        <f>HYPERLINK("https://www.britishcycling.org.uk/points?person_id=64594&amp;year=2024&amp;type=national&amp;d=6","Results")</f>
        <v/>
      </c>
    </row>
    <row r="34">
      <c r="A34" t="inlineStr">
        <is>
          <t>33</t>
        </is>
      </c>
      <c r="B34" t="inlineStr">
        <is>
          <t>Catherine Hughes</t>
        </is>
      </c>
      <c r="C34" t="inlineStr">
        <is>
          <t>Ilkeston Cycle Club</t>
        </is>
      </c>
      <c r="D34" t="inlineStr">
        <is>
          <t>110</t>
        </is>
      </c>
      <c r="E34" s="2">
        <f>HYPERLINK("https://www.britishcycling.org.uk/points?person_id=478788&amp;year=2024&amp;type=national&amp;d=6","Results")</f>
        <v/>
      </c>
    </row>
    <row r="35">
      <c r="A35" t="inlineStr">
        <is>
          <t>34</t>
        </is>
      </c>
      <c r="B35" t="inlineStr">
        <is>
          <t>Joanne Newstead</t>
        </is>
      </c>
      <c r="C35" t="inlineStr">
        <is>
          <t>XRT - Elmy Cycles</t>
        </is>
      </c>
      <c r="D35" t="inlineStr">
        <is>
          <t>110</t>
        </is>
      </c>
      <c r="E35" s="2">
        <f>HYPERLINK("https://www.britishcycling.org.uk/points?person_id=13888&amp;year=2024&amp;type=national&amp;d=6","Results")</f>
        <v/>
      </c>
    </row>
    <row r="36">
      <c r="A36" t="inlineStr">
        <is>
          <t>35</t>
        </is>
      </c>
      <c r="B36" t="inlineStr">
        <is>
          <t>Tracy Wilkinson-Begg</t>
        </is>
      </c>
      <c r="C36" t="inlineStr">
        <is>
          <t>Vanelli-Project Go</t>
        </is>
      </c>
      <c r="D36" t="inlineStr">
        <is>
          <t>108</t>
        </is>
      </c>
      <c r="E36" s="2">
        <f>HYPERLINK("https://www.britishcycling.org.uk/points?person_id=604772&amp;year=2024&amp;type=national&amp;d=6","Results")</f>
        <v/>
      </c>
    </row>
    <row r="37">
      <c r="A37" t="inlineStr">
        <is>
          <t>36</t>
        </is>
      </c>
      <c r="B37" t="inlineStr">
        <is>
          <t>Alison Taylor</t>
        </is>
      </c>
      <c r="C37" t="inlineStr">
        <is>
          <t>Shibden Cycling Club</t>
        </is>
      </c>
      <c r="D37" t="inlineStr">
        <is>
          <t>106</t>
        </is>
      </c>
      <c r="E37" s="2">
        <f>HYPERLINK("https://www.britishcycling.org.uk/points?person_id=986885&amp;year=2024&amp;type=national&amp;d=6","Results")</f>
        <v/>
      </c>
    </row>
    <row r="38">
      <c r="A38" t="inlineStr">
        <is>
          <t>37</t>
        </is>
      </c>
      <c r="B38" t="inlineStr">
        <is>
          <t>Sarah Grimshaw</t>
        </is>
      </c>
      <c r="C38" t="inlineStr">
        <is>
          <t>Grity Race Team</t>
        </is>
      </c>
      <c r="D38" t="inlineStr">
        <is>
          <t>105</t>
        </is>
      </c>
      <c r="E38" s="2">
        <f>HYPERLINK("https://www.britishcycling.org.uk/points?person_id=321195&amp;year=2024&amp;type=national&amp;d=6","Results")</f>
        <v/>
      </c>
    </row>
    <row r="39">
      <c r="A39" t="inlineStr">
        <is>
          <t>38</t>
        </is>
      </c>
      <c r="B39" t="inlineStr">
        <is>
          <t>Karen Jones</t>
        </is>
      </c>
      <c r="C39" t="inlineStr">
        <is>
          <t>Holyhead Cycling Club</t>
        </is>
      </c>
      <c r="D39" t="inlineStr">
        <is>
          <t>105</t>
        </is>
      </c>
      <c r="E39" s="2">
        <f>HYPERLINK("https://www.britishcycling.org.uk/points?person_id=944489&amp;year=2024&amp;type=national&amp;d=6","Results")</f>
        <v/>
      </c>
    </row>
    <row r="40">
      <c r="A40" t="inlineStr">
        <is>
          <t>39</t>
        </is>
      </c>
      <c r="B40" t="inlineStr">
        <is>
          <t>Kirsteen Ellis</t>
        </is>
      </c>
      <c r="C40" t="inlineStr">
        <is>
          <t>Fife Century RC</t>
        </is>
      </c>
      <c r="D40" t="inlineStr">
        <is>
          <t>102</t>
        </is>
      </c>
      <c r="E40" s="2">
        <f>HYPERLINK("https://www.britishcycling.org.uk/points?person_id=304067&amp;year=2024&amp;type=national&amp;d=6","Results")</f>
        <v/>
      </c>
    </row>
    <row r="41">
      <c r="A41" t="inlineStr">
        <is>
          <t>40</t>
        </is>
      </c>
      <c r="B41" t="inlineStr">
        <is>
          <t>Fiona Ableson Bradshaw</t>
        </is>
      </c>
      <c r="C41" t="inlineStr">
        <is>
          <t>1st Chard Whls</t>
        </is>
      </c>
      <c r="D41" t="inlineStr">
        <is>
          <t>97</t>
        </is>
      </c>
      <c r="E41" s="2">
        <f>HYPERLINK("https://www.britishcycling.org.uk/points?person_id=1157834&amp;year=2024&amp;type=national&amp;d=6","Results")</f>
        <v/>
      </c>
    </row>
    <row r="42">
      <c r="A42" t="inlineStr">
        <is>
          <t>41</t>
        </is>
      </c>
      <c r="B42" t="inlineStr">
        <is>
          <t>Sarah Kelman</t>
        </is>
      </c>
      <c r="C42" t="inlineStr">
        <is>
          <t>Solihull CC</t>
        </is>
      </c>
      <c r="D42" t="inlineStr">
        <is>
          <t>86</t>
        </is>
      </c>
      <c r="E42" s="2">
        <f>HYPERLINK("https://www.britishcycling.org.uk/points?person_id=661074&amp;year=2024&amp;type=national&amp;d=6","Results")</f>
        <v/>
      </c>
    </row>
    <row r="43">
      <c r="A43" t="inlineStr">
        <is>
          <t>42</t>
        </is>
      </c>
      <c r="B43" t="inlineStr">
        <is>
          <t>Pamela Moore</t>
        </is>
      </c>
      <c r="C43" t="inlineStr">
        <is>
          <t>Coalville Wheelers CC</t>
        </is>
      </c>
      <c r="D43" t="inlineStr">
        <is>
          <t>82</t>
        </is>
      </c>
      <c r="E43" s="2">
        <f>HYPERLINK("https://www.britishcycling.org.uk/points?person_id=612163&amp;year=2024&amp;type=national&amp;d=6","Results")</f>
        <v/>
      </c>
    </row>
    <row r="44">
      <c r="A44" t="inlineStr">
        <is>
          <t>43</t>
        </is>
      </c>
      <c r="B44" t="inlineStr">
        <is>
          <t>Suzanne Wise</t>
        </is>
      </c>
      <c r="C44" t="inlineStr">
        <is>
          <t>C and N Cycles RT</t>
        </is>
      </c>
      <c r="D44" t="inlineStr">
        <is>
          <t>82</t>
        </is>
      </c>
      <c r="E44" s="2">
        <f>HYPERLINK("https://www.britishcycling.org.uk/points?person_id=607451&amp;year=2024&amp;type=national&amp;d=6","Results")</f>
        <v/>
      </c>
    </row>
    <row r="45">
      <c r="A45" t="inlineStr">
        <is>
          <t>44</t>
        </is>
      </c>
      <c r="B45" t="inlineStr">
        <is>
          <t>Alison Bagnall</t>
        </is>
      </c>
      <c r="C45" t="inlineStr">
        <is>
          <t>ROTOR Race Team</t>
        </is>
      </c>
      <c r="D45" t="inlineStr">
        <is>
          <t>80</t>
        </is>
      </c>
      <c r="E45" s="2">
        <f>HYPERLINK("https://www.britishcycling.org.uk/points?person_id=540393&amp;year=2024&amp;type=national&amp;d=6","Results")</f>
        <v/>
      </c>
    </row>
    <row r="46">
      <c r="A46" t="inlineStr">
        <is>
          <t>45</t>
        </is>
      </c>
      <c r="B46" t="inlineStr">
        <is>
          <t>Hannah Collingridge</t>
        </is>
      </c>
      <c r="C46" t="inlineStr">
        <is>
          <t>Saint Piran WRT</t>
        </is>
      </c>
      <c r="D46" t="inlineStr">
        <is>
          <t>72</t>
        </is>
      </c>
      <c r="E46" s="2">
        <f>HYPERLINK("https://www.britishcycling.org.uk/points?person_id=118334&amp;year=2024&amp;type=national&amp;d=6","Results")</f>
        <v/>
      </c>
    </row>
    <row r="47">
      <c r="A47" t="inlineStr">
        <is>
          <t>46</t>
        </is>
      </c>
      <c r="B47" t="inlineStr">
        <is>
          <t>Rita Humphreys</t>
        </is>
      </c>
      <c r="C47" t="inlineStr">
        <is>
          <t>Rugby Velo</t>
        </is>
      </c>
      <c r="D47" t="inlineStr">
        <is>
          <t>68</t>
        </is>
      </c>
      <c r="E47" s="2">
        <f>HYPERLINK("https://www.britishcycling.org.uk/points?person_id=102896&amp;year=2024&amp;type=national&amp;d=6","Results")</f>
        <v/>
      </c>
    </row>
    <row r="48">
      <c r="A48" t="inlineStr">
        <is>
          <t>47</t>
        </is>
      </c>
      <c r="B48" t="inlineStr">
        <is>
          <t>Laura Jeremiah</t>
        </is>
      </c>
      <c r="C48" t="inlineStr">
        <is>
          <t>Cardiff JIF</t>
        </is>
      </c>
      <c r="D48" t="inlineStr">
        <is>
          <t>64</t>
        </is>
      </c>
      <c r="E48" s="2">
        <f>HYPERLINK("https://www.britishcycling.org.uk/points?person_id=48888&amp;year=2024&amp;type=national&amp;d=6","Results")</f>
        <v/>
      </c>
    </row>
    <row r="49">
      <c r="A49" t="inlineStr">
        <is>
          <t>48</t>
        </is>
      </c>
      <c r="B49" t="inlineStr">
        <is>
          <t>Elizabeth Wilson</t>
        </is>
      </c>
      <c r="C49" t="inlineStr">
        <is>
          <t>Warwick Lanterne Rouge C.C</t>
        </is>
      </c>
      <c r="D49" t="inlineStr">
        <is>
          <t>64</t>
        </is>
      </c>
      <c r="E49" s="2">
        <f>HYPERLINK("https://www.britishcycling.org.uk/points?person_id=882896&amp;year=2024&amp;type=national&amp;d=6","Results")</f>
        <v/>
      </c>
    </row>
    <row r="50">
      <c r="A50" t="inlineStr">
        <is>
          <t>49</t>
        </is>
      </c>
      <c r="B50" t="inlineStr">
        <is>
          <t>Mel Wardle</t>
        </is>
      </c>
      <c r="C50" t="inlineStr">
        <is>
          <t>Allen Valley Velo</t>
        </is>
      </c>
      <c r="D50" t="inlineStr">
        <is>
          <t>62</t>
        </is>
      </c>
      <c r="E50" s="2">
        <f>HYPERLINK("https://www.britishcycling.org.uk/points?person_id=1014774&amp;year=2024&amp;type=national&amp;d=6","Results")</f>
        <v/>
      </c>
    </row>
    <row r="51">
      <c r="A51" t="inlineStr">
        <is>
          <t>50</t>
        </is>
      </c>
      <c r="B51" t="inlineStr">
        <is>
          <t>Lynn Bland</t>
        </is>
      </c>
      <c r="C51" t="inlineStr">
        <is>
          <t>Norton Wheelers</t>
        </is>
      </c>
      <c r="D51" t="inlineStr">
        <is>
          <t>60</t>
        </is>
      </c>
      <c r="E51" s="2">
        <f>HYPERLINK("https://www.britishcycling.org.uk/points?person_id=71298&amp;year=2024&amp;type=national&amp;d=6","Results")</f>
        <v/>
      </c>
    </row>
    <row r="52">
      <c r="A52" t="inlineStr">
        <is>
          <t>51</t>
        </is>
      </c>
      <c r="B52" t="inlineStr">
        <is>
          <t>Lisa Davis</t>
        </is>
      </c>
      <c r="C52" t="inlineStr">
        <is>
          <t>Drag2Zero</t>
        </is>
      </c>
      <c r="D52" t="inlineStr">
        <is>
          <t>57</t>
        </is>
      </c>
      <c r="E52" s="2">
        <f>HYPERLINK("https://www.britishcycling.org.uk/points?person_id=333082&amp;year=2024&amp;type=national&amp;d=6","Results")</f>
        <v/>
      </c>
    </row>
    <row r="53">
      <c r="A53" t="inlineStr">
        <is>
          <t>52</t>
        </is>
      </c>
      <c r="B53" t="inlineStr">
        <is>
          <t>Lucie Gallen</t>
        </is>
      </c>
      <c r="C53" t="inlineStr"/>
      <c r="D53" t="inlineStr">
        <is>
          <t>54</t>
        </is>
      </c>
      <c r="E53" s="2">
        <f>HYPERLINK("https://www.britishcycling.org.uk/points?person_id=201337&amp;year=2024&amp;type=national&amp;d=6","Results")</f>
        <v/>
      </c>
    </row>
    <row r="54">
      <c r="A54" t="inlineStr">
        <is>
          <t>53</t>
        </is>
      </c>
      <c r="B54" t="inlineStr">
        <is>
          <t>Kate Dixon</t>
        </is>
      </c>
      <c r="C54" t="inlineStr">
        <is>
          <t>Oscar Bravo</t>
        </is>
      </c>
      <c r="D54" t="inlineStr">
        <is>
          <t>44</t>
        </is>
      </c>
      <c r="E54" s="2">
        <f>HYPERLINK("https://www.britishcycling.org.uk/points?person_id=863211&amp;year=2024&amp;type=national&amp;d=6","Results")</f>
        <v/>
      </c>
    </row>
    <row r="55">
      <c r="A55" t="inlineStr">
        <is>
          <t>54</t>
        </is>
      </c>
      <c r="B55" t="inlineStr">
        <is>
          <t>Ruth Gamwell</t>
        </is>
      </c>
      <c r="C55" t="inlineStr">
        <is>
          <t>Macclesfield Wheelers</t>
        </is>
      </c>
      <c r="D55" t="inlineStr">
        <is>
          <t>40</t>
        </is>
      </c>
      <c r="E55" s="2">
        <f>HYPERLINK("https://www.britishcycling.org.uk/points?person_id=37464&amp;year=2024&amp;type=national&amp;d=6","Results")</f>
        <v/>
      </c>
    </row>
    <row r="56">
      <c r="A56" t="inlineStr">
        <is>
          <t>55</t>
        </is>
      </c>
      <c r="B56" t="inlineStr">
        <is>
          <t>Anne Murray</t>
        </is>
      </c>
      <c r="C56" t="inlineStr">
        <is>
          <t>Ben Wyvis Cycle Club</t>
        </is>
      </c>
      <c r="D56" t="inlineStr">
        <is>
          <t>40</t>
        </is>
      </c>
      <c r="E56" s="2">
        <f>HYPERLINK("https://www.britishcycling.org.uk/points?person_id=60414&amp;year=2024&amp;type=national&amp;d=6","Results")</f>
        <v/>
      </c>
    </row>
    <row r="57">
      <c r="A57" t="inlineStr">
        <is>
          <t>56</t>
        </is>
      </c>
      <c r="B57" t="inlineStr">
        <is>
          <t>Tamala McGee</t>
        </is>
      </c>
      <c r="C57" t="inlineStr">
        <is>
          <t>ASSOS UK Racing Team</t>
        </is>
      </c>
      <c r="D57" t="inlineStr">
        <is>
          <t>30</t>
        </is>
      </c>
      <c r="E57" s="2">
        <f>HYPERLINK("https://www.britishcycling.org.uk/points?person_id=195900&amp;year=2024&amp;type=national&amp;d=6","Results")</f>
        <v/>
      </c>
    </row>
    <row r="58">
      <c r="A58" t="inlineStr">
        <is>
          <t>57</t>
        </is>
      </c>
      <c r="B58" t="inlineStr">
        <is>
          <t>Chloe Dilks</t>
        </is>
      </c>
      <c r="C58" t="inlineStr">
        <is>
          <t>Team Empella</t>
        </is>
      </c>
      <c r="D58" t="inlineStr">
        <is>
          <t>28</t>
        </is>
      </c>
      <c r="E58" s="2">
        <f>HYPERLINK("https://www.britishcycling.org.uk/points?person_id=464080&amp;year=2024&amp;type=national&amp;d=6","Results")</f>
        <v/>
      </c>
    </row>
    <row r="59">
      <c r="A59" t="inlineStr">
        <is>
          <t>58</t>
        </is>
      </c>
      <c r="B59" t="inlineStr">
        <is>
          <t>Renell Brennan</t>
        </is>
      </c>
      <c r="C59" t="inlineStr"/>
      <c r="D59" t="inlineStr">
        <is>
          <t>26</t>
        </is>
      </c>
      <c r="E59" s="2">
        <f>HYPERLINK("https://www.britishcycling.org.uk/points?person_id=2432&amp;year=2024&amp;type=national&amp;d=6","Results")</f>
        <v/>
      </c>
    </row>
    <row r="60">
      <c r="A60" t="inlineStr">
        <is>
          <t>59</t>
        </is>
      </c>
      <c r="B60" t="inlineStr">
        <is>
          <t>Marianne Heffron</t>
        </is>
      </c>
      <c r="C60" t="inlineStr">
        <is>
          <t>Grity Race Team</t>
        </is>
      </c>
      <c r="D60" t="inlineStr">
        <is>
          <t>24</t>
        </is>
      </c>
      <c r="E60" s="2">
        <f>HYPERLINK("https://www.britishcycling.org.uk/points?person_id=175528&amp;year=2024&amp;type=national&amp;d=6","Results")</f>
        <v/>
      </c>
    </row>
    <row r="61">
      <c r="A61" t="inlineStr">
        <is>
          <t>60</t>
        </is>
      </c>
      <c r="B61" t="inlineStr">
        <is>
          <t>Melissa Pearson</t>
        </is>
      </c>
      <c r="C61" t="inlineStr"/>
      <c r="D61" t="inlineStr">
        <is>
          <t>22</t>
        </is>
      </c>
      <c r="E61" s="2">
        <f>HYPERLINK("https://www.britishcycling.org.uk/points?person_id=192317&amp;year=2024&amp;type=national&amp;d=6","Results")</f>
        <v/>
      </c>
    </row>
    <row r="62">
      <c r="A62" t="inlineStr">
        <is>
          <t>61</t>
        </is>
      </c>
      <c r="B62" t="inlineStr">
        <is>
          <t>Alison Ford</t>
        </is>
      </c>
      <c r="C62" t="inlineStr">
        <is>
          <t>GS Vecchi</t>
        </is>
      </c>
      <c r="D62" t="inlineStr">
        <is>
          <t>16</t>
        </is>
      </c>
      <c r="E62" s="2">
        <f>HYPERLINK("https://www.britishcycling.org.uk/points?person_id=47037&amp;year=2024&amp;type=national&amp;d=6","Results")</f>
        <v/>
      </c>
    </row>
  </sheetData>
  <pageMargins left="0.75" right="0.75" top="1" bottom="1" header="0.5" footer="0.5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F23"/>
  <sheetViews>
    <sheetView workbookViewId="0">
      <selection activeCell="A1" sqref="A1"/>
    </sheetView>
  </sheetViews>
  <sheetFormatPr baseColWidth="8" defaultRowHeight="15"/>
  <cols>
    <col width="8" customWidth="1" min="1" max="1"/>
    <col width="25" customWidth="1" min="2" max="2"/>
    <col width="50" customWidth="1" min="3" max="3"/>
    <col width="7" customWidth="1" min="4" max="4"/>
    <col width="20" customWidth="1" min="5" max="5"/>
  </cols>
  <sheetData>
    <row r="1">
      <c r="A1" s="1" t="inlineStr">
        <is>
          <t>Ranking</t>
        </is>
      </c>
      <c r="B1" s="1" t="inlineStr">
        <is>
          <t>Name</t>
        </is>
      </c>
      <c r="C1" s="1" t="inlineStr">
        <is>
          <t>Club/Team</t>
        </is>
      </c>
      <c r="D1" s="1" t="inlineStr">
        <is>
          <t>Points</t>
        </is>
      </c>
      <c r="E1" s="1" t="inlineStr">
        <is>
          <t>Detail (click)</t>
        </is>
      </c>
      <c r="F1" s="1" t="inlineStr">
        <is>
          <t>Updated: 2024-12-20</t>
        </is>
      </c>
    </row>
    <row r="2">
      <c r="A2" t="inlineStr">
        <is>
          <t>1</t>
        </is>
      </c>
      <c r="B2" t="inlineStr">
        <is>
          <t>Nicola Davies</t>
        </is>
      </c>
      <c r="C2" t="inlineStr">
        <is>
          <t>CXR</t>
        </is>
      </c>
      <c r="D2" t="inlineStr">
        <is>
          <t>480</t>
        </is>
      </c>
      <c r="E2" s="2">
        <f>HYPERLINK("https://www.britishcycling.org.uk/points?person_id=23143&amp;year=2024&amp;type=national&amp;d=6","Results")</f>
        <v/>
      </c>
    </row>
    <row r="3">
      <c r="A3" t="inlineStr">
        <is>
          <t>2</t>
        </is>
      </c>
      <c r="B3" t="inlineStr">
        <is>
          <t>Julie Hughes</t>
        </is>
      </c>
      <c r="C3" t="inlineStr">
        <is>
          <t>North Hampshire RC</t>
        </is>
      </c>
      <c r="D3" t="inlineStr">
        <is>
          <t>422</t>
        </is>
      </c>
      <c r="E3" s="2">
        <f>HYPERLINK("https://www.britishcycling.org.uk/points?person_id=1002092&amp;year=2024&amp;type=national&amp;d=6","Results")</f>
        <v/>
      </c>
    </row>
    <row r="4">
      <c r="A4" t="inlineStr">
        <is>
          <t>3</t>
        </is>
      </c>
      <c r="B4" t="inlineStr">
        <is>
          <t>Sally Reid</t>
        </is>
      </c>
      <c r="C4" t="inlineStr">
        <is>
          <t>Pedal Power Loughborough</t>
        </is>
      </c>
      <c r="D4" t="inlineStr">
        <is>
          <t>418</t>
        </is>
      </c>
      <c r="E4" s="2">
        <f>HYPERLINK("https://www.britishcycling.org.uk/points?person_id=333365&amp;year=2024&amp;type=national&amp;d=6","Results")</f>
        <v/>
      </c>
    </row>
    <row r="5">
      <c r="A5" t="inlineStr">
        <is>
          <t>4</t>
        </is>
      </c>
      <c r="B5" t="inlineStr">
        <is>
          <t>Carol Miller</t>
        </is>
      </c>
      <c r="C5" t="inlineStr">
        <is>
          <t>Abergavenny Road Club</t>
        </is>
      </c>
      <c r="D5" t="inlineStr">
        <is>
          <t>408</t>
        </is>
      </c>
      <c r="E5" s="2">
        <f>HYPERLINK("https://www.britishcycling.org.uk/points?person_id=9530&amp;year=2024&amp;type=national&amp;d=6","Results")</f>
        <v/>
      </c>
    </row>
    <row r="6">
      <c r="A6" t="inlineStr">
        <is>
          <t>5</t>
        </is>
      </c>
      <c r="B6" t="inlineStr">
        <is>
          <t>Lesley Wilkinson</t>
        </is>
      </c>
      <c r="C6" t="inlineStr">
        <is>
          <t>Addiscombe CC</t>
        </is>
      </c>
      <c r="D6" t="inlineStr">
        <is>
          <t>404</t>
        </is>
      </c>
      <c r="E6" s="2">
        <f>HYPERLINK("https://www.britishcycling.org.uk/points?person_id=266586&amp;year=2024&amp;type=national&amp;d=6","Results")</f>
        <v/>
      </c>
    </row>
    <row r="7">
      <c r="A7" t="inlineStr">
        <is>
          <t>6</t>
        </is>
      </c>
      <c r="B7" t="inlineStr">
        <is>
          <t>Tracey Fletcher</t>
        </is>
      </c>
      <c r="C7" t="inlineStr">
        <is>
          <t>Magspeed Racing</t>
        </is>
      </c>
      <c r="D7" t="inlineStr">
        <is>
          <t>300</t>
        </is>
      </c>
      <c r="E7" s="2">
        <f>HYPERLINK("https://www.britishcycling.org.uk/points?person_id=27758&amp;year=2024&amp;type=national&amp;d=6","Results")</f>
        <v/>
      </c>
    </row>
    <row r="8">
      <c r="A8" t="inlineStr">
        <is>
          <t>7</t>
        </is>
      </c>
      <c r="B8" t="inlineStr">
        <is>
          <t>Trish McPherson</t>
        </is>
      </c>
      <c r="C8" t="inlineStr">
        <is>
          <t>Coalville Wheelers CC</t>
        </is>
      </c>
      <c r="D8" t="inlineStr">
        <is>
          <t>290</t>
        </is>
      </c>
      <c r="E8" s="2">
        <f>HYPERLINK("https://www.britishcycling.org.uk/points?person_id=783320&amp;year=2024&amp;type=national&amp;d=6","Results")</f>
        <v/>
      </c>
    </row>
    <row r="9">
      <c r="A9" t="inlineStr">
        <is>
          <t>8</t>
        </is>
      </c>
      <c r="B9" t="inlineStr">
        <is>
          <t>Katie Burgess</t>
        </is>
      </c>
      <c r="C9" t="inlineStr">
        <is>
          <t>Oscar Bravo</t>
        </is>
      </c>
      <c r="D9" t="inlineStr">
        <is>
          <t>288</t>
        </is>
      </c>
      <c r="E9" s="2">
        <f>HYPERLINK("https://www.britishcycling.org.uk/points?person_id=55991&amp;year=2024&amp;type=national&amp;d=6","Results")</f>
        <v/>
      </c>
    </row>
    <row r="10">
      <c r="A10" t="inlineStr">
        <is>
          <t>9</t>
        </is>
      </c>
      <c r="B10" t="inlineStr">
        <is>
          <t>Carolyn Speirs</t>
        </is>
      </c>
      <c r="C10" t="inlineStr">
        <is>
          <t>Grity Race Team</t>
        </is>
      </c>
      <c r="D10" t="inlineStr">
        <is>
          <t>242</t>
        </is>
      </c>
      <c r="E10" s="2">
        <f>HYPERLINK("https://www.britishcycling.org.uk/points?person_id=43271&amp;year=2024&amp;type=national&amp;d=6","Results")</f>
        <v/>
      </c>
    </row>
    <row r="11">
      <c r="A11" t="inlineStr">
        <is>
          <t>10</t>
        </is>
      </c>
      <c r="B11" t="inlineStr">
        <is>
          <t>Louise Crossman</t>
        </is>
      </c>
      <c r="C11" t="inlineStr"/>
      <c r="D11" t="inlineStr">
        <is>
          <t>202</t>
        </is>
      </c>
      <c r="E11" s="2">
        <f>HYPERLINK("https://www.britishcycling.org.uk/points?person_id=425849&amp;year=2024&amp;type=national&amp;d=6","Results")</f>
        <v/>
      </c>
    </row>
    <row r="12">
      <c r="A12" t="inlineStr">
        <is>
          <t>11</t>
        </is>
      </c>
      <c r="B12" t="inlineStr">
        <is>
          <t>Lydia Gould</t>
        </is>
      </c>
      <c r="C12" t="inlineStr">
        <is>
          <t>Velo Club Venta</t>
        </is>
      </c>
      <c r="D12" t="inlineStr">
        <is>
          <t>202</t>
        </is>
      </c>
      <c r="E12" s="2">
        <f>HYPERLINK("https://www.britishcycling.org.uk/points?person_id=25383&amp;year=2024&amp;type=national&amp;d=6","Results")</f>
        <v/>
      </c>
    </row>
    <row r="13">
      <c r="A13" t="inlineStr">
        <is>
          <t>12</t>
        </is>
      </c>
      <c r="B13" t="inlineStr">
        <is>
          <t>Lynn Bland</t>
        </is>
      </c>
      <c r="C13" t="inlineStr">
        <is>
          <t>Norton Wheelers</t>
        </is>
      </c>
      <c r="D13" t="inlineStr">
        <is>
          <t>178</t>
        </is>
      </c>
      <c r="E13" s="2">
        <f>HYPERLINK("https://www.britishcycling.org.uk/points?person_id=71298&amp;year=2024&amp;type=national&amp;d=6","Results")</f>
        <v/>
      </c>
    </row>
    <row r="14">
      <c r="A14" t="inlineStr">
        <is>
          <t>13</t>
        </is>
      </c>
      <c r="B14" t="inlineStr">
        <is>
          <t>Clare Johnson</t>
        </is>
      </c>
      <c r="C14" t="inlineStr">
        <is>
          <t>Brighton Mitre CC</t>
        </is>
      </c>
      <c r="D14" t="inlineStr">
        <is>
          <t>159</t>
        </is>
      </c>
      <c r="E14" s="2">
        <f>HYPERLINK("https://www.britishcycling.org.uk/points?person_id=568700&amp;year=2024&amp;type=national&amp;d=6","Results")</f>
        <v/>
      </c>
    </row>
    <row r="15">
      <c r="A15" t="inlineStr">
        <is>
          <t>14</t>
        </is>
      </c>
      <c r="B15" t="inlineStr">
        <is>
          <t>Karen McGrath</t>
        </is>
      </c>
      <c r="C15" t="inlineStr">
        <is>
          <t>Team TMC - Strada Wheels</t>
        </is>
      </c>
      <c r="D15" t="inlineStr">
        <is>
          <t>156</t>
        </is>
      </c>
      <c r="E15" s="2">
        <f>HYPERLINK("https://www.britishcycling.org.uk/points?person_id=228737&amp;year=2024&amp;type=national&amp;d=6","Results")</f>
        <v/>
      </c>
    </row>
    <row r="16">
      <c r="A16" t="inlineStr">
        <is>
          <t>15</t>
        </is>
      </c>
      <c r="B16" t="inlineStr">
        <is>
          <t>Helen Winton</t>
        </is>
      </c>
      <c r="C16" t="inlineStr">
        <is>
          <t>Vanelli-Project Go</t>
        </is>
      </c>
      <c r="D16" t="inlineStr">
        <is>
          <t>150</t>
        </is>
      </c>
      <c r="E16" s="2">
        <f>HYPERLINK("https://www.britishcycling.org.uk/points?person_id=255001&amp;year=2024&amp;type=national&amp;d=6","Results")</f>
        <v/>
      </c>
    </row>
    <row r="17">
      <c r="A17" t="inlineStr">
        <is>
          <t>16</t>
        </is>
      </c>
      <c r="B17" t="inlineStr">
        <is>
          <t>Alison Brown</t>
        </is>
      </c>
      <c r="C17" t="inlineStr">
        <is>
          <t>Stirling Bike Club</t>
        </is>
      </c>
      <c r="D17" t="inlineStr">
        <is>
          <t>148</t>
        </is>
      </c>
      <c r="E17" s="2">
        <f>HYPERLINK("https://www.britishcycling.org.uk/points?person_id=860862&amp;year=2024&amp;type=national&amp;d=6","Results")</f>
        <v/>
      </c>
    </row>
    <row r="18">
      <c r="A18" t="inlineStr">
        <is>
          <t>17</t>
        </is>
      </c>
      <c r="B18" t="inlineStr">
        <is>
          <t>Fiona Paton</t>
        </is>
      </c>
      <c r="C18" t="inlineStr">
        <is>
          <t>East Sutherland Wheelers</t>
        </is>
      </c>
      <c r="D18" t="inlineStr">
        <is>
          <t>74</t>
        </is>
      </c>
      <c r="E18" s="2">
        <f>HYPERLINK("https://www.britishcycling.org.uk/points?person_id=101889&amp;year=2024&amp;type=national&amp;d=6","Results")</f>
        <v/>
      </c>
    </row>
    <row r="19">
      <c r="A19" t="inlineStr">
        <is>
          <t>18</t>
        </is>
      </c>
      <c r="B19" t="inlineStr">
        <is>
          <t>Elizabeth Clayton</t>
        </is>
      </c>
      <c r="C19" t="inlineStr">
        <is>
          <t>Stirling Bike Club</t>
        </is>
      </c>
      <c r="D19" t="inlineStr">
        <is>
          <t>66</t>
        </is>
      </c>
      <c r="E19" s="2">
        <f>HYPERLINK("https://www.britishcycling.org.uk/points?person_id=26258&amp;year=2024&amp;type=national&amp;d=6","Results")</f>
        <v/>
      </c>
    </row>
    <row r="20">
      <c r="A20" t="inlineStr">
        <is>
          <t>19</t>
        </is>
      </c>
      <c r="B20" t="inlineStr">
        <is>
          <t>Debbie MacColl</t>
        </is>
      </c>
      <c r="C20" t="inlineStr">
        <is>
          <t>Team Milton Keynes</t>
        </is>
      </c>
      <c r="D20" t="inlineStr">
        <is>
          <t>58</t>
        </is>
      </c>
      <c r="E20" s="2">
        <f>HYPERLINK("https://www.britishcycling.org.uk/points?person_id=557687&amp;year=2024&amp;type=national&amp;d=6","Results")</f>
        <v/>
      </c>
    </row>
    <row r="21">
      <c r="A21" t="inlineStr">
        <is>
          <t>20</t>
        </is>
      </c>
      <c r="B21" t="inlineStr">
        <is>
          <t>Abigail Armstrong</t>
        </is>
      </c>
      <c r="C21" t="inlineStr">
        <is>
          <t>Beachy Head Cycling Club</t>
        </is>
      </c>
      <c r="D21" t="inlineStr">
        <is>
          <t>26</t>
        </is>
      </c>
      <c r="E21" s="2">
        <f>HYPERLINK("https://www.britishcycling.org.uk/points?person_id=69655&amp;year=2024&amp;type=national&amp;d=6","Results")</f>
        <v/>
      </c>
    </row>
    <row r="22">
      <c r="A22" t="inlineStr">
        <is>
          <t>21</t>
        </is>
      </c>
      <c r="B22" t="inlineStr">
        <is>
          <t>Judith Harper</t>
        </is>
      </c>
      <c r="C22" t="inlineStr">
        <is>
          <t>Solihull CC</t>
        </is>
      </c>
      <c r="D22" t="inlineStr">
        <is>
          <t>24</t>
        </is>
      </c>
      <c r="E22" s="2">
        <f>HYPERLINK("https://www.britishcycling.org.uk/points?person_id=238924&amp;year=2024&amp;type=national&amp;d=6","Results")</f>
        <v/>
      </c>
    </row>
    <row r="23">
      <c r="A23" t="inlineStr">
        <is>
          <t>22</t>
        </is>
      </c>
      <c r="B23" t="inlineStr">
        <is>
          <t>Clair Parfrey</t>
        </is>
      </c>
      <c r="C23" t="inlineStr">
        <is>
          <t>Phoenix Velo</t>
        </is>
      </c>
      <c r="D23" t="inlineStr">
        <is>
          <t>22</t>
        </is>
      </c>
      <c r="E23" s="2">
        <f>HYPERLINK("https://www.britishcycling.org.uk/points?person_id=98990&amp;year=2024&amp;type=national&amp;d=6","Results")</f>
        <v/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F242"/>
  <sheetViews>
    <sheetView workbookViewId="0">
      <selection activeCell="A1" sqref="A1"/>
    </sheetView>
  </sheetViews>
  <sheetFormatPr baseColWidth="8" defaultRowHeight="15"/>
  <cols>
    <col width="8" customWidth="1" min="1" max="1"/>
    <col width="25" customWidth="1" min="2" max="2"/>
    <col width="50" customWidth="1" min="3" max="3"/>
    <col width="7" customWidth="1" min="4" max="4"/>
    <col width="20" customWidth="1" min="5" max="5"/>
  </cols>
  <sheetData>
    <row r="1">
      <c r="A1" s="1" t="inlineStr">
        <is>
          <t>Ranking</t>
        </is>
      </c>
      <c r="B1" s="1" t="inlineStr">
        <is>
          <t>Name</t>
        </is>
      </c>
      <c r="C1" s="1" t="inlineStr">
        <is>
          <t>Club/Team</t>
        </is>
      </c>
      <c r="D1" s="1" t="inlineStr">
        <is>
          <t>Points</t>
        </is>
      </c>
      <c r="E1" s="1" t="inlineStr">
        <is>
          <t>Detail (click)</t>
        </is>
      </c>
      <c r="F1" s="1" t="inlineStr">
        <is>
          <t>Updated: 2024-12-20</t>
        </is>
      </c>
    </row>
    <row r="2">
      <c r="A2" t="inlineStr">
        <is>
          <t>1</t>
        </is>
      </c>
      <c r="B2" t="inlineStr">
        <is>
          <t>Luke Trafford</t>
        </is>
      </c>
      <c r="C2" t="inlineStr">
        <is>
          <t>Shibden Cycling Club</t>
        </is>
      </c>
      <c r="D2" t="inlineStr">
        <is>
          <t>558</t>
        </is>
      </c>
      <c r="E2" s="2">
        <f>HYPERLINK("https://www.britishcycling.org.uk/points?person_id=754707&amp;year=2024&amp;type=national&amp;d=6","Results")</f>
        <v/>
      </c>
    </row>
    <row r="3">
      <c r="A3" t="inlineStr">
        <is>
          <t>2</t>
        </is>
      </c>
      <c r="B3" t="inlineStr">
        <is>
          <t>Daniel Davies</t>
        </is>
      </c>
      <c r="C3" t="inlineStr">
        <is>
          <t>Maindy Flyers CC</t>
        </is>
      </c>
      <c r="D3" t="inlineStr">
        <is>
          <t>430</t>
        </is>
      </c>
      <c r="E3" s="2">
        <f>HYPERLINK("https://www.britishcycling.org.uk/points?person_id=580723&amp;year=2024&amp;type=national&amp;d=6","Results")</f>
        <v/>
      </c>
    </row>
    <row r="4">
      <c r="A4" t="inlineStr">
        <is>
          <t>3</t>
        </is>
      </c>
      <c r="B4" t="inlineStr">
        <is>
          <t>Alarik Knox</t>
        </is>
      </c>
      <c r="C4" t="inlineStr">
        <is>
          <t>Verulam - reallymoving.com</t>
        </is>
      </c>
      <c r="D4" t="inlineStr">
        <is>
          <t>426</t>
        </is>
      </c>
      <c r="E4" s="2">
        <f>HYPERLINK("https://www.britishcycling.org.uk/points?person_id=615896&amp;year=2024&amp;type=national&amp;d=6","Results")</f>
        <v/>
      </c>
    </row>
    <row r="5">
      <c r="A5" t="inlineStr">
        <is>
          <t>4</t>
        </is>
      </c>
      <c r="B5" t="inlineStr">
        <is>
          <t>Noah White</t>
        </is>
      </c>
      <c r="C5" t="inlineStr">
        <is>
          <t>Shibden Apex RT</t>
        </is>
      </c>
      <c r="D5" t="inlineStr">
        <is>
          <t>426</t>
        </is>
      </c>
      <c r="E5" s="2">
        <f>HYPERLINK("https://www.britishcycling.org.uk/points?person_id=456449&amp;year=2024&amp;type=national&amp;d=6","Results")</f>
        <v/>
      </c>
    </row>
    <row r="6">
      <c r="A6" t="inlineStr">
        <is>
          <t>5</t>
        </is>
      </c>
      <c r="B6" t="inlineStr">
        <is>
          <t>Joseph Wooliscroft</t>
        </is>
      </c>
      <c r="C6" t="inlineStr">
        <is>
          <t>Shibden Cycling Club</t>
        </is>
      </c>
      <c r="D6" t="inlineStr">
        <is>
          <t>422</t>
        </is>
      </c>
      <c r="E6" s="2">
        <f>HYPERLINK("https://www.britishcycling.org.uk/points?person_id=850497&amp;year=2024&amp;type=national&amp;d=6","Results")</f>
        <v/>
      </c>
    </row>
    <row r="7">
      <c r="A7" t="inlineStr">
        <is>
          <t>6</t>
        </is>
      </c>
      <c r="B7" t="inlineStr">
        <is>
          <t>Sam Genazzini</t>
        </is>
      </c>
      <c r="C7" t="inlineStr">
        <is>
          <t>Solent Pirates</t>
        </is>
      </c>
      <c r="D7" t="inlineStr">
        <is>
          <t>396</t>
        </is>
      </c>
      <c r="E7" s="2">
        <f>HYPERLINK("https://www.britishcycling.org.uk/points?person_id=542708&amp;year=2024&amp;type=national&amp;d=6","Results")</f>
        <v/>
      </c>
    </row>
    <row r="8">
      <c r="A8" t="inlineStr">
        <is>
          <t>7</t>
        </is>
      </c>
      <c r="B8" t="inlineStr">
        <is>
          <t>Ethan Lulham</t>
        </is>
      </c>
      <c r="C8" t="inlineStr">
        <is>
          <t>ViCiOUS VELO</t>
        </is>
      </c>
      <c r="D8" t="inlineStr">
        <is>
          <t>362</t>
        </is>
      </c>
      <c r="E8" s="2">
        <f>HYPERLINK("https://www.britishcycling.org.uk/points?person_id=996033&amp;year=2024&amp;type=national&amp;d=6","Results")</f>
        <v/>
      </c>
    </row>
    <row r="9">
      <c r="A9" t="inlineStr">
        <is>
          <t>8</t>
        </is>
      </c>
      <c r="B9" t="inlineStr">
        <is>
          <t>Zachary Hutchinson</t>
        </is>
      </c>
      <c r="C9" t="inlineStr">
        <is>
          <t>Clifton CC</t>
        </is>
      </c>
      <c r="D9" t="inlineStr">
        <is>
          <t>350</t>
        </is>
      </c>
      <c r="E9" s="2">
        <f>HYPERLINK("https://www.britishcycling.org.uk/points?person_id=514162&amp;year=2024&amp;type=national&amp;d=6","Results")</f>
        <v/>
      </c>
    </row>
    <row r="10">
      <c r="A10" t="inlineStr">
        <is>
          <t>9</t>
        </is>
      </c>
      <c r="B10" t="inlineStr">
        <is>
          <t>Thomas Allen</t>
        </is>
      </c>
      <c r="C10" t="inlineStr">
        <is>
          <t>Sotonia CC</t>
        </is>
      </c>
      <c r="D10" t="inlineStr">
        <is>
          <t>336</t>
        </is>
      </c>
      <c r="E10" s="2">
        <f>HYPERLINK("https://www.britishcycling.org.uk/points?person_id=856844&amp;year=2024&amp;type=national&amp;d=6","Results")</f>
        <v/>
      </c>
    </row>
    <row r="11">
      <c r="A11" t="inlineStr">
        <is>
          <t>10</t>
        </is>
      </c>
      <c r="B11" t="inlineStr">
        <is>
          <t>Roch Morgan</t>
        </is>
      </c>
      <c r="C11" t="inlineStr">
        <is>
          <t>Derby Mercury RC</t>
        </is>
      </c>
      <c r="D11" t="inlineStr">
        <is>
          <t>332</t>
        </is>
      </c>
      <c r="E11" s="2">
        <f>HYPERLINK("https://www.britishcycling.org.uk/points?person_id=986071&amp;year=2024&amp;type=national&amp;d=6","Results")</f>
        <v/>
      </c>
    </row>
    <row r="12">
      <c r="A12" t="inlineStr">
        <is>
          <t>11</t>
        </is>
      </c>
      <c r="B12" t="inlineStr">
        <is>
          <t>Oliver Larner</t>
        </is>
      </c>
      <c r="C12" t="inlineStr">
        <is>
          <t>Lichfield City CC</t>
        </is>
      </c>
      <c r="D12" t="inlineStr">
        <is>
          <t>326</t>
        </is>
      </c>
      <c r="E12" s="2">
        <f>HYPERLINK("https://www.britishcycling.org.uk/points?person_id=464784&amp;year=2024&amp;type=national&amp;d=6","Results")</f>
        <v/>
      </c>
    </row>
    <row r="13">
      <c r="A13" t="inlineStr">
        <is>
          <t>12</t>
        </is>
      </c>
      <c r="B13" t="inlineStr">
        <is>
          <t>Isaac Starmer</t>
        </is>
      </c>
      <c r="C13" t="inlineStr">
        <is>
          <t>Colchester Rovers CC</t>
        </is>
      </c>
      <c r="D13" t="inlineStr">
        <is>
          <t>320</t>
        </is>
      </c>
      <c r="E13" s="2">
        <f>HYPERLINK("https://www.britishcycling.org.uk/points?person_id=687626&amp;year=2024&amp;type=national&amp;d=6","Results")</f>
        <v/>
      </c>
    </row>
    <row r="14">
      <c r="A14" t="inlineStr">
        <is>
          <t>13</t>
        </is>
      </c>
      <c r="B14" t="inlineStr">
        <is>
          <t>Xander Graham</t>
        </is>
      </c>
      <c r="C14" t="inlineStr">
        <is>
          <t>SCOTT Pioneer DJ</t>
        </is>
      </c>
      <c r="D14" t="inlineStr">
        <is>
          <t>316</t>
        </is>
      </c>
      <c r="E14" s="2">
        <f>HYPERLINK("https://www.britishcycling.org.uk/points?person_id=735787&amp;year=2024&amp;type=national&amp;d=6","Results")</f>
        <v/>
      </c>
    </row>
    <row r="15">
      <c r="A15" t="inlineStr">
        <is>
          <t>14</t>
        </is>
      </c>
      <c r="B15" t="inlineStr">
        <is>
          <t>Daniel Elliott</t>
        </is>
      </c>
      <c r="C15" t="inlineStr">
        <is>
          <t>Welwyn Wheelers CC</t>
        </is>
      </c>
      <c r="D15" t="inlineStr">
        <is>
          <t>308</t>
        </is>
      </c>
      <c r="E15" s="2">
        <f>HYPERLINK("https://www.britishcycling.org.uk/points?person_id=624756&amp;year=2024&amp;type=national&amp;d=6","Results")</f>
        <v/>
      </c>
    </row>
    <row r="16">
      <c r="A16" t="inlineStr">
        <is>
          <t>15</t>
        </is>
      </c>
      <c r="B16" t="inlineStr">
        <is>
          <t>Sacha Morland</t>
        </is>
      </c>
      <c r="C16" t="inlineStr">
        <is>
          <t>Welwyn Wheelers CC</t>
        </is>
      </c>
      <c r="D16" t="inlineStr">
        <is>
          <t>308</t>
        </is>
      </c>
      <c r="E16" s="2">
        <f>HYPERLINK("https://www.britishcycling.org.uk/points?person_id=1030821&amp;year=2024&amp;type=national&amp;d=6","Results")</f>
        <v/>
      </c>
    </row>
    <row r="17">
      <c r="A17" t="inlineStr">
        <is>
          <t>16</t>
        </is>
      </c>
      <c r="B17" t="inlineStr">
        <is>
          <t>Arthur Oliver</t>
        </is>
      </c>
      <c r="C17" t="inlineStr">
        <is>
          <t>Lichfield City CC</t>
        </is>
      </c>
      <c r="D17" t="inlineStr">
        <is>
          <t>300</t>
        </is>
      </c>
      <c r="E17" s="2">
        <f>HYPERLINK("https://www.britishcycling.org.uk/points?person_id=839208&amp;year=2024&amp;type=national&amp;d=6","Results")</f>
        <v/>
      </c>
    </row>
    <row r="18">
      <c r="A18" t="inlineStr">
        <is>
          <t>17</t>
        </is>
      </c>
      <c r="B18" t="inlineStr">
        <is>
          <t>James Calvert</t>
        </is>
      </c>
      <c r="C18" t="inlineStr">
        <is>
          <t>ROTOR Race Team</t>
        </is>
      </c>
      <c r="D18" t="inlineStr">
        <is>
          <t>298</t>
        </is>
      </c>
      <c r="E18" s="2">
        <f>HYPERLINK("https://www.britishcycling.org.uk/points?person_id=645762&amp;year=2024&amp;type=national&amp;d=6","Results")</f>
        <v/>
      </c>
    </row>
    <row r="19">
      <c r="A19" t="inlineStr">
        <is>
          <t>18</t>
        </is>
      </c>
      <c r="B19" t="inlineStr">
        <is>
          <t>Oscar Shaw</t>
        </is>
      </c>
      <c r="C19" t="inlineStr">
        <is>
          <t>The Grit Cartel</t>
        </is>
      </c>
      <c r="D19" t="inlineStr">
        <is>
          <t>296</t>
        </is>
      </c>
      <c r="E19" s="2">
        <f>HYPERLINK("https://www.britishcycling.org.uk/points?person_id=390796&amp;year=2024&amp;type=national&amp;d=6","Results")</f>
        <v/>
      </c>
    </row>
    <row r="20">
      <c r="A20" t="inlineStr">
        <is>
          <t>19</t>
        </is>
      </c>
      <c r="B20" t="inlineStr">
        <is>
          <t>Charlie Albone</t>
        </is>
      </c>
      <c r="C20" t="inlineStr">
        <is>
          <t>Shibden Cycling Club</t>
        </is>
      </c>
      <c r="D20" t="inlineStr">
        <is>
          <t>294</t>
        </is>
      </c>
      <c r="E20" s="2">
        <f>HYPERLINK("https://www.britishcycling.org.uk/points?person_id=522424&amp;year=2024&amp;type=national&amp;d=6","Results")</f>
        <v/>
      </c>
    </row>
    <row r="21">
      <c r="A21" t="inlineStr">
        <is>
          <t>20</t>
        </is>
      </c>
      <c r="B21" t="inlineStr">
        <is>
          <t>Tom Cragg</t>
        </is>
      </c>
      <c r="C21" t="inlineStr">
        <is>
          <t>Sleaford Wheelers Cycling Club</t>
        </is>
      </c>
      <c r="D21" t="inlineStr">
        <is>
          <t>294</t>
        </is>
      </c>
      <c r="E21" s="2">
        <f>HYPERLINK("https://www.britishcycling.org.uk/points?person_id=523008&amp;year=2024&amp;type=national&amp;d=6","Results")</f>
        <v/>
      </c>
    </row>
    <row r="22">
      <c r="A22" t="inlineStr">
        <is>
          <t>21</t>
        </is>
      </c>
      <c r="B22" t="inlineStr">
        <is>
          <t>Benjamin Whitehouse</t>
        </is>
      </c>
      <c r="C22" t="inlineStr">
        <is>
          <t>RR23 - runandride.co.uk</t>
        </is>
      </c>
      <c r="D22" t="inlineStr">
        <is>
          <t>270</t>
        </is>
      </c>
      <c r="E22" s="2">
        <f>HYPERLINK("https://www.britishcycling.org.uk/points?person_id=841814&amp;year=2024&amp;type=national&amp;d=6","Results")</f>
        <v/>
      </c>
    </row>
    <row r="23">
      <c r="A23" t="inlineStr">
        <is>
          <t>22</t>
        </is>
      </c>
      <c r="B23" t="inlineStr">
        <is>
          <t>Thomas Wilks</t>
        </is>
      </c>
      <c r="C23" t="inlineStr">
        <is>
          <t>Sotonia CC</t>
        </is>
      </c>
      <c r="D23" t="inlineStr">
        <is>
          <t>268</t>
        </is>
      </c>
      <c r="E23" s="2">
        <f>HYPERLINK("https://www.britishcycling.org.uk/points?person_id=691195&amp;year=2024&amp;type=national&amp;d=6","Results")</f>
        <v/>
      </c>
    </row>
    <row r="24">
      <c r="A24" t="inlineStr">
        <is>
          <t>23</t>
        </is>
      </c>
      <c r="B24" t="inlineStr">
        <is>
          <t>Ciaran Ho</t>
        </is>
      </c>
      <c r="C24" t="inlineStr">
        <is>
          <t>Hadleigh Cycling Club</t>
        </is>
      </c>
      <c r="D24" t="inlineStr">
        <is>
          <t>267</t>
        </is>
      </c>
      <c r="E24" s="2">
        <f>HYPERLINK("https://www.britishcycling.org.uk/points?person_id=1012823&amp;year=2024&amp;type=national&amp;d=6","Results")</f>
        <v/>
      </c>
    </row>
    <row r="25">
      <c r="A25" t="inlineStr">
        <is>
          <t>24</t>
        </is>
      </c>
      <c r="B25" t="inlineStr">
        <is>
          <t>Luke Fletcher</t>
        </is>
      </c>
      <c r="C25" t="inlineStr">
        <is>
          <t>4T+ Cyclopark</t>
        </is>
      </c>
      <c r="D25" t="inlineStr">
        <is>
          <t>266</t>
        </is>
      </c>
      <c r="E25" s="2">
        <f>HYPERLINK("https://www.britishcycling.org.uk/points?person_id=1014847&amp;year=2024&amp;type=national&amp;d=6","Results")</f>
        <v/>
      </c>
    </row>
    <row r="26">
      <c r="A26" t="inlineStr">
        <is>
          <t>25</t>
        </is>
      </c>
      <c r="B26" t="inlineStr">
        <is>
          <t>Theo Wan</t>
        </is>
      </c>
      <c r="C26" t="inlineStr">
        <is>
          <t>Beeston Cycling Club</t>
        </is>
      </c>
      <c r="D26" t="inlineStr">
        <is>
          <t>264</t>
        </is>
      </c>
      <c r="E26" s="2">
        <f>HYPERLINK("https://www.britishcycling.org.uk/points?person_id=825652&amp;year=2024&amp;type=national&amp;d=6","Results")</f>
        <v/>
      </c>
    </row>
    <row r="27">
      <c r="A27" t="inlineStr">
        <is>
          <t>26</t>
        </is>
      </c>
      <c r="B27" t="inlineStr">
        <is>
          <t>Harry Cooper</t>
        </is>
      </c>
      <c r="C27" t="inlineStr">
        <is>
          <t>Palmer Park Velo RT</t>
        </is>
      </c>
      <c r="D27" t="inlineStr">
        <is>
          <t>262</t>
        </is>
      </c>
      <c r="E27" s="2">
        <f>HYPERLINK("https://www.britishcycling.org.uk/points?person_id=824636&amp;year=2024&amp;type=national&amp;d=6","Results")</f>
        <v/>
      </c>
    </row>
    <row r="28">
      <c r="A28" t="inlineStr">
        <is>
          <t>27</t>
        </is>
      </c>
      <c r="B28" t="inlineStr">
        <is>
          <t>Benjamin Cousins</t>
        </is>
      </c>
      <c r="C28" t="inlineStr">
        <is>
          <t>Verulam - reallymoving.com</t>
        </is>
      </c>
      <c r="D28" t="inlineStr">
        <is>
          <t>262</t>
        </is>
      </c>
      <c r="E28" s="2">
        <f>HYPERLINK("https://www.britishcycling.org.uk/points?person_id=632152&amp;year=2024&amp;type=national&amp;d=6","Results")</f>
        <v/>
      </c>
    </row>
    <row r="29">
      <c r="A29" t="inlineStr">
        <is>
          <t>28</t>
        </is>
      </c>
      <c r="B29" t="inlineStr">
        <is>
          <t>Oliver Swinburn</t>
        </is>
      </c>
      <c r="C29" t="inlineStr">
        <is>
          <t>Beeston Cycling Club</t>
        </is>
      </c>
      <c r="D29" t="inlineStr">
        <is>
          <t>262</t>
        </is>
      </c>
      <c r="E29" s="2">
        <f>HYPERLINK("https://www.britishcycling.org.uk/points?person_id=796368&amp;year=2024&amp;type=national&amp;d=6","Results")</f>
        <v/>
      </c>
    </row>
    <row r="30">
      <c r="A30" t="inlineStr">
        <is>
          <t>29</t>
        </is>
      </c>
      <c r="B30" t="inlineStr">
        <is>
          <t>Joel Gibbon</t>
        </is>
      </c>
      <c r="C30" t="inlineStr">
        <is>
          <t>Hetton Hawks Cycling Club</t>
        </is>
      </c>
      <c r="D30" t="inlineStr">
        <is>
          <t>260</t>
        </is>
      </c>
      <c r="E30" s="2">
        <f>HYPERLINK("https://www.britishcycling.org.uk/points?person_id=753217&amp;year=2024&amp;type=national&amp;d=6","Results")</f>
        <v/>
      </c>
    </row>
    <row r="31">
      <c r="A31" t="inlineStr">
        <is>
          <t>30</t>
        </is>
      </c>
      <c r="B31" t="inlineStr">
        <is>
          <t>Brodie Wilkinson</t>
        </is>
      </c>
      <c r="C31" t="inlineStr">
        <is>
          <t>Bigfoot Youth Cycle Club Ltd</t>
        </is>
      </c>
      <c r="D31" t="inlineStr">
        <is>
          <t>260</t>
        </is>
      </c>
      <c r="E31" s="2">
        <f>HYPERLINK("https://www.britishcycling.org.uk/points?person_id=687616&amp;year=2024&amp;type=national&amp;d=6","Results")</f>
        <v/>
      </c>
    </row>
    <row r="32">
      <c r="A32" t="inlineStr">
        <is>
          <t>31</t>
        </is>
      </c>
      <c r="B32" t="inlineStr">
        <is>
          <t>Edward Graves</t>
        </is>
      </c>
      <c r="C32" t="inlineStr">
        <is>
          <t>4T+ Cyclopark</t>
        </is>
      </c>
      <c r="D32" t="inlineStr">
        <is>
          <t>258</t>
        </is>
      </c>
      <c r="E32" s="2">
        <f>HYPERLINK("https://www.britishcycling.org.uk/points?person_id=862226&amp;year=2024&amp;type=national&amp;d=6","Results")</f>
        <v/>
      </c>
    </row>
    <row r="33">
      <c r="A33" t="inlineStr">
        <is>
          <t>32</t>
        </is>
      </c>
      <c r="B33" t="inlineStr">
        <is>
          <t>Iestyn John Rowlands</t>
        </is>
      </c>
      <c r="C33" t="inlineStr">
        <is>
          <t>Hafren CC</t>
        </is>
      </c>
      <c r="D33" t="inlineStr">
        <is>
          <t>258</t>
        </is>
      </c>
      <c r="E33" s="2">
        <f>HYPERLINK("https://www.britishcycling.org.uk/points?person_id=950697&amp;year=2024&amp;type=national&amp;d=6","Results")</f>
        <v/>
      </c>
    </row>
    <row r="34">
      <c r="A34" t="inlineStr">
        <is>
          <t>33</t>
        </is>
      </c>
      <c r="B34" t="inlineStr">
        <is>
          <t>James Cook</t>
        </is>
      </c>
      <c r="C34" t="inlineStr">
        <is>
          <t>Bigfoot Youth Cycle Club Ltd</t>
        </is>
      </c>
      <c r="D34" t="inlineStr">
        <is>
          <t>256</t>
        </is>
      </c>
      <c r="E34" s="2">
        <f>HYPERLINK("https://www.britishcycling.org.uk/points?person_id=397104&amp;year=2024&amp;type=national&amp;d=6","Results")</f>
        <v/>
      </c>
    </row>
    <row r="35">
      <c r="A35" t="inlineStr">
        <is>
          <t>34</t>
        </is>
      </c>
      <c r="B35" t="inlineStr">
        <is>
          <t>Wilfred Pugh</t>
        </is>
      </c>
      <c r="C35" t="inlineStr">
        <is>
          <t>One Life Racing (Hexham)</t>
        </is>
      </c>
      <c r="D35" t="inlineStr">
        <is>
          <t>242</t>
        </is>
      </c>
      <c r="E35" s="2">
        <f>HYPERLINK("https://www.britishcycling.org.uk/points?person_id=1088675&amp;year=2024&amp;type=national&amp;d=6","Results")</f>
        <v/>
      </c>
    </row>
    <row r="36">
      <c r="A36" t="inlineStr">
        <is>
          <t>35</t>
        </is>
      </c>
      <c r="B36" t="inlineStr">
        <is>
          <t>Loris Cains</t>
        </is>
      </c>
      <c r="C36" t="inlineStr">
        <is>
          <t>Avid Sport</t>
        </is>
      </c>
      <c r="D36" t="inlineStr">
        <is>
          <t>230</t>
        </is>
      </c>
      <c r="E36" s="2">
        <f>HYPERLINK("https://www.britishcycling.org.uk/points?person_id=773764&amp;year=2024&amp;type=national&amp;d=6","Results")</f>
        <v/>
      </c>
    </row>
    <row r="37">
      <c r="A37" t="inlineStr">
        <is>
          <t>36</t>
        </is>
      </c>
      <c r="B37" t="inlineStr">
        <is>
          <t>Joel Kaye</t>
        </is>
      </c>
      <c r="C37" t="inlineStr">
        <is>
          <t>Welwyn Wheelers CC</t>
        </is>
      </c>
      <c r="D37" t="inlineStr">
        <is>
          <t>217</t>
        </is>
      </c>
      <c r="E37" s="2">
        <f>HYPERLINK("https://www.britishcycling.org.uk/points?person_id=847774&amp;year=2024&amp;type=national&amp;d=6","Results")</f>
        <v/>
      </c>
    </row>
    <row r="38">
      <c r="A38" t="inlineStr">
        <is>
          <t>37</t>
        </is>
      </c>
      <c r="B38" t="inlineStr">
        <is>
          <t>Oliver Williams</t>
        </is>
      </c>
      <c r="C38" t="inlineStr">
        <is>
          <t>Sleaford Wheelers Cycling Club</t>
        </is>
      </c>
      <c r="D38" t="inlineStr">
        <is>
          <t>216</t>
        </is>
      </c>
      <c r="E38" s="2">
        <f>HYPERLINK("https://www.britishcycling.org.uk/points?person_id=1092117&amp;year=2024&amp;type=national&amp;d=6","Results")</f>
        <v/>
      </c>
    </row>
    <row r="39">
      <c r="A39" t="inlineStr">
        <is>
          <t>38</t>
        </is>
      </c>
      <c r="B39" t="inlineStr">
        <is>
          <t>Ruben Stringfellow</t>
        </is>
      </c>
      <c r="C39" t="inlineStr">
        <is>
          <t>Stratford CC</t>
        </is>
      </c>
      <c r="D39" t="inlineStr">
        <is>
          <t>208</t>
        </is>
      </c>
      <c r="E39" s="2">
        <f>HYPERLINK("https://www.britishcycling.org.uk/points?person_id=422361&amp;year=2024&amp;type=national&amp;d=6","Results")</f>
        <v/>
      </c>
    </row>
    <row r="40">
      <c r="A40" t="inlineStr">
        <is>
          <t>39</t>
        </is>
      </c>
      <c r="B40" t="inlineStr">
        <is>
          <t>Oliver Turnbull</t>
        </is>
      </c>
      <c r="C40" t="inlineStr">
        <is>
          <t>Velo Club Lincoln</t>
        </is>
      </c>
      <c r="D40" t="inlineStr">
        <is>
          <t>206</t>
        </is>
      </c>
      <c r="E40" s="2">
        <f>HYPERLINK("https://www.britishcycling.org.uk/points?person_id=623904&amp;year=2024&amp;type=national&amp;d=6","Results")</f>
        <v/>
      </c>
    </row>
    <row r="41">
      <c r="A41" t="inlineStr">
        <is>
          <t>40</t>
        </is>
      </c>
      <c r="B41" t="inlineStr">
        <is>
          <t>Luke Spencer</t>
        </is>
      </c>
      <c r="C41" t="inlineStr">
        <is>
          <t>North Cheshire Clarion</t>
        </is>
      </c>
      <c r="D41" t="inlineStr">
        <is>
          <t>200</t>
        </is>
      </c>
      <c r="E41" s="2">
        <f>HYPERLINK("https://www.britishcycling.org.uk/points?person_id=1018584&amp;year=2024&amp;type=national&amp;d=6","Results")</f>
        <v/>
      </c>
    </row>
    <row r="42">
      <c r="A42" t="inlineStr">
        <is>
          <t>41</t>
        </is>
      </c>
      <c r="B42" t="inlineStr">
        <is>
          <t>Charlie Taylor</t>
        </is>
      </c>
      <c r="C42" t="inlineStr">
        <is>
          <t>Velo Club Lincoln</t>
        </is>
      </c>
      <c r="D42" t="inlineStr">
        <is>
          <t>199</t>
        </is>
      </c>
      <c r="E42" s="2">
        <f>HYPERLINK("https://www.britishcycling.org.uk/points?person_id=1083000&amp;year=2024&amp;type=national&amp;d=6","Results")</f>
        <v/>
      </c>
    </row>
    <row r="43">
      <c r="A43" t="inlineStr">
        <is>
          <t>42</t>
        </is>
      </c>
      <c r="B43" t="inlineStr">
        <is>
          <t>Zavier Cleathero</t>
        </is>
      </c>
      <c r="C43" t="inlineStr">
        <is>
          <t>Reifen Racing</t>
        </is>
      </c>
      <c r="D43" t="inlineStr">
        <is>
          <t>198</t>
        </is>
      </c>
      <c r="E43" s="2">
        <f>HYPERLINK("https://www.britishcycling.org.uk/points?person_id=265371&amp;year=2024&amp;type=national&amp;d=6","Results")</f>
        <v/>
      </c>
    </row>
    <row r="44">
      <c r="A44" t="inlineStr">
        <is>
          <t>43</t>
        </is>
      </c>
      <c r="B44" t="inlineStr">
        <is>
          <t>Thomas Watkins</t>
        </is>
      </c>
      <c r="C44" t="inlineStr">
        <is>
          <t>Bigfoot Youth Cycle Club Ltd</t>
        </is>
      </c>
      <c r="D44" t="inlineStr">
        <is>
          <t>197</t>
        </is>
      </c>
      <c r="E44" s="2">
        <f>HYPERLINK("https://www.britishcycling.org.uk/points?person_id=654014&amp;year=2024&amp;type=national&amp;d=6","Results")</f>
        <v/>
      </c>
    </row>
    <row r="45">
      <c r="A45" t="inlineStr">
        <is>
          <t>44</t>
        </is>
      </c>
      <c r="B45" t="inlineStr">
        <is>
          <t>Freddie Winkley</t>
        </is>
      </c>
      <c r="C45" t="inlineStr">
        <is>
          <t>Shibden Cycling Club</t>
        </is>
      </c>
      <c r="D45" t="inlineStr">
        <is>
          <t>196</t>
        </is>
      </c>
      <c r="E45" s="2">
        <f>HYPERLINK("https://www.britishcycling.org.uk/points?person_id=414838&amp;year=2024&amp;type=national&amp;d=6","Results")</f>
        <v/>
      </c>
    </row>
    <row r="46">
      <c r="A46" t="inlineStr">
        <is>
          <t>45</t>
        </is>
      </c>
      <c r="B46" t="inlineStr">
        <is>
          <t>Samuel Freeman</t>
        </is>
      </c>
      <c r="C46" t="inlineStr">
        <is>
          <t>Beeston Cycling Club</t>
        </is>
      </c>
      <c r="D46" t="inlineStr">
        <is>
          <t>193</t>
        </is>
      </c>
      <c r="E46" s="2">
        <f>HYPERLINK("https://www.britishcycling.org.uk/points?person_id=1011851&amp;year=2024&amp;type=national&amp;d=6","Results")</f>
        <v/>
      </c>
    </row>
    <row r="47">
      <c r="A47" t="inlineStr">
        <is>
          <t>46</t>
        </is>
      </c>
      <c r="B47" t="inlineStr">
        <is>
          <t>Reuben Harrington</t>
        </is>
      </c>
      <c r="C47" t="inlineStr">
        <is>
          <t>Sotonia CC</t>
        </is>
      </c>
      <c r="D47" t="inlineStr">
        <is>
          <t>192</t>
        </is>
      </c>
      <c r="E47" s="2">
        <f>HYPERLINK("https://www.britishcycling.org.uk/points?person_id=613698&amp;year=2024&amp;type=national&amp;d=6","Results")</f>
        <v/>
      </c>
    </row>
    <row r="48">
      <c r="A48" t="inlineStr">
        <is>
          <t>47</t>
        </is>
      </c>
      <c r="B48" t="inlineStr">
        <is>
          <t>Jamie Brough</t>
        </is>
      </c>
      <c r="C48" t="inlineStr">
        <is>
          <t>Matlock CC</t>
        </is>
      </c>
      <c r="D48" t="inlineStr">
        <is>
          <t>188</t>
        </is>
      </c>
      <c r="E48" s="2">
        <f>HYPERLINK("https://www.britishcycling.org.uk/points?person_id=735796&amp;year=2024&amp;type=national&amp;d=6","Results")</f>
        <v/>
      </c>
    </row>
    <row r="49">
      <c r="A49" t="inlineStr">
        <is>
          <t>48</t>
        </is>
      </c>
      <c r="B49" t="inlineStr">
        <is>
          <t>Harry Hughes</t>
        </is>
      </c>
      <c r="C49" t="inlineStr">
        <is>
          <t>Nuneaton BMX Club</t>
        </is>
      </c>
      <c r="D49" t="inlineStr">
        <is>
          <t>185</t>
        </is>
      </c>
      <c r="E49" s="2">
        <f>HYPERLINK("https://www.britishcycling.org.uk/points?person_id=673677&amp;year=2024&amp;type=national&amp;d=6","Results")</f>
        <v/>
      </c>
    </row>
    <row r="50">
      <c r="A50" t="inlineStr">
        <is>
          <t>49</t>
        </is>
      </c>
      <c r="B50" t="inlineStr">
        <is>
          <t>Ben Bramford-Hale</t>
        </is>
      </c>
      <c r="C50" t="inlineStr"/>
      <c r="D50" t="inlineStr">
        <is>
          <t>184</t>
        </is>
      </c>
      <c r="E50" s="2">
        <f>HYPERLINK("https://www.britishcycling.org.uk/points?person_id=383153&amp;year=2024&amp;type=national&amp;d=6","Results")</f>
        <v/>
      </c>
    </row>
    <row r="51">
      <c r="A51" t="inlineStr">
        <is>
          <t>50</t>
        </is>
      </c>
      <c r="B51" t="inlineStr">
        <is>
          <t>Osian Rowe</t>
        </is>
      </c>
      <c r="C51" t="inlineStr">
        <is>
          <t>MVSenders</t>
        </is>
      </c>
      <c r="D51" t="inlineStr">
        <is>
          <t>184</t>
        </is>
      </c>
      <c r="E51" s="2">
        <f>HYPERLINK("https://www.britishcycling.org.uk/points?person_id=902985&amp;year=2024&amp;type=national&amp;d=6","Results")</f>
        <v/>
      </c>
    </row>
    <row r="52">
      <c r="A52" t="inlineStr">
        <is>
          <t>51</t>
        </is>
      </c>
      <c r="B52" t="inlineStr">
        <is>
          <t>Freddie Day</t>
        </is>
      </c>
      <c r="C52" t="inlineStr">
        <is>
          <t>Dartmoor Velo</t>
        </is>
      </c>
      <c r="D52" t="inlineStr">
        <is>
          <t>180</t>
        </is>
      </c>
      <c r="E52" s="2">
        <f>HYPERLINK("https://www.britishcycling.org.uk/points?person_id=842231&amp;year=2024&amp;type=national&amp;d=6","Results")</f>
        <v/>
      </c>
    </row>
    <row r="53">
      <c r="A53" t="inlineStr">
        <is>
          <t>52</t>
        </is>
      </c>
      <c r="B53" t="inlineStr">
        <is>
          <t>Alex Box</t>
        </is>
      </c>
      <c r="C53" t="inlineStr">
        <is>
          <t>The Grit Cartel</t>
        </is>
      </c>
      <c r="D53" t="inlineStr">
        <is>
          <t>176</t>
        </is>
      </c>
      <c r="E53" s="2">
        <f>HYPERLINK("https://www.britishcycling.org.uk/points?person_id=1019307&amp;year=2024&amp;type=national&amp;d=6","Results")</f>
        <v/>
      </c>
    </row>
    <row r="54">
      <c r="A54" t="inlineStr">
        <is>
          <t>53</t>
        </is>
      </c>
      <c r="B54" t="inlineStr">
        <is>
          <t>Daniel Branford</t>
        </is>
      </c>
      <c r="C54" t="inlineStr">
        <is>
          <t>Poole Wheelers CC</t>
        </is>
      </c>
      <c r="D54" t="inlineStr">
        <is>
          <t>174</t>
        </is>
      </c>
      <c r="E54" s="2">
        <f>HYPERLINK("https://www.britishcycling.org.uk/points?person_id=684859&amp;year=2024&amp;type=national&amp;d=6","Results")</f>
        <v/>
      </c>
    </row>
    <row r="55">
      <c r="A55" t="inlineStr">
        <is>
          <t>54</t>
        </is>
      </c>
      <c r="B55" t="inlineStr">
        <is>
          <t>Matthew Holmes</t>
        </is>
      </c>
      <c r="C55" t="inlineStr">
        <is>
          <t>Mid Devon CC</t>
        </is>
      </c>
      <c r="D55" t="inlineStr">
        <is>
          <t>172</t>
        </is>
      </c>
      <c r="E55" s="2">
        <f>HYPERLINK("https://www.britishcycling.org.uk/points?person_id=651551&amp;year=2024&amp;type=national&amp;d=6","Results")</f>
        <v/>
      </c>
    </row>
    <row r="56">
      <c r="A56" t="inlineStr">
        <is>
          <t>55</t>
        </is>
      </c>
      <c r="B56" t="inlineStr">
        <is>
          <t>Cameron Reeves</t>
        </is>
      </c>
      <c r="C56" t="inlineStr">
        <is>
          <t>Abergavenny Road Club</t>
        </is>
      </c>
      <c r="D56" t="inlineStr">
        <is>
          <t>172</t>
        </is>
      </c>
      <c r="E56" s="2">
        <f>HYPERLINK("https://www.britishcycling.org.uk/points?person_id=694583&amp;year=2024&amp;type=national&amp;d=6","Results")</f>
        <v/>
      </c>
    </row>
    <row r="57">
      <c r="A57" t="inlineStr">
        <is>
          <t>56</t>
        </is>
      </c>
      <c r="B57" t="inlineStr">
        <is>
          <t>Arran Drackford</t>
        </is>
      </c>
      <c r="C57" t="inlineStr">
        <is>
          <t>Falkirk Junior Bike Club</t>
        </is>
      </c>
      <c r="D57" t="inlineStr">
        <is>
          <t>170</t>
        </is>
      </c>
      <c r="E57" s="2">
        <f>HYPERLINK("https://www.britishcycling.org.uk/points?person_id=837780&amp;year=2024&amp;type=national&amp;d=6","Results")</f>
        <v/>
      </c>
    </row>
    <row r="58">
      <c r="A58" t="inlineStr">
        <is>
          <t>57</t>
        </is>
      </c>
      <c r="B58" t="inlineStr">
        <is>
          <t>Matthew Meadows</t>
        </is>
      </c>
      <c r="C58" t="inlineStr">
        <is>
          <t>Colchester Rovers CC</t>
        </is>
      </c>
      <c r="D58" t="inlineStr">
        <is>
          <t>168</t>
        </is>
      </c>
      <c r="E58" s="2">
        <f>HYPERLINK("https://www.britishcycling.org.uk/points?person_id=547423&amp;year=2024&amp;type=national&amp;d=6","Results")</f>
        <v/>
      </c>
    </row>
    <row r="59">
      <c r="A59" t="inlineStr">
        <is>
          <t>58</t>
        </is>
      </c>
      <c r="B59" t="inlineStr">
        <is>
          <t>Rhuairdh Fulton</t>
        </is>
      </c>
      <c r="C59" t="inlineStr">
        <is>
          <t>West Lothian Clarion CC</t>
        </is>
      </c>
      <c r="D59" t="inlineStr">
        <is>
          <t>166</t>
        </is>
      </c>
      <c r="E59" s="2">
        <f>HYPERLINK("https://www.britishcycling.org.uk/points?person_id=517611&amp;year=2024&amp;type=national&amp;d=6","Results")</f>
        <v/>
      </c>
    </row>
    <row r="60">
      <c r="A60" t="inlineStr">
        <is>
          <t>59</t>
        </is>
      </c>
      <c r="B60" t="inlineStr">
        <is>
          <t>Talan Jones</t>
        </is>
      </c>
      <c r="C60" t="inlineStr">
        <is>
          <t>Maindy Flyers CC</t>
        </is>
      </c>
      <c r="D60" t="inlineStr">
        <is>
          <t>166</t>
        </is>
      </c>
      <c r="E60" s="2">
        <f>HYPERLINK("https://www.britishcycling.org.uk/points?person_id=555128&amp;year=2024&amp;type=national&amp;d=6","Results")</f>
        <v/>
      </c>
    </row>
    <row r="61">
      <c r="A61" t="inlineStr">
        <is>
          <t>60</t>
        </is>
      </c>
      <c r="B61" t="inlineStr">
        <is>
          <t>George Wood</t>
        </is>
      </c>
      <c r="C61" t="inlineStr">
        <is>
          <t>CTW Racing</t>
        </is>
      </c>
      <c r="D61" t="inlineStr">
        <is>
          <t>166</t>
        </is>
      </c>
      <c r="E61" s="2">
        <f>HYPERLINK("https://www.britishcycling.org.uk/points?person_id=1003864&amp;year=2024&amp;type=national&amp;d=6","Results")</f>
        <v/>
      </c>
    </row>
    <row r="62">
      <c r="A62" t="inlineStr">
        <is>
          <t>61</t>
        </is>
      </c>
      <c r="B62" t="inlineStr">
        <is>
          <t>Zack Stobbs</t>
        </is>
      </c>
      <c r="C62" t="inlineStr">
        <is>
          <t>Tyneside Vagabonds CC</t>
        </is>
      </c>
      <c r="D62" t="inlineStr">
        <is>
          <t>165</t>
        </is>
      </c>
      <c r="E62" s="2">
        <f>HYPERLINK("https://www.britishcycling.org.uk/points?person_id=436753&amp;year=2024&amp;type=national&amp;d=6","Results")</f>
        <v/>
      </c>
    </row>
    <row r="63">
      <c r="A63" t="inlineStr">
        <is>
          <t>62</t>
        </is>
      </c>
      <c r="B63" t="inlineStr">
        <is>
          <t>Casey Jackson</t>
        </is>
      </c>
      <c r="C63" t="inlineStr">
        <is>
          <t>Shibden Cycling Club</t>
        </is>
      </c>
      <c r="D63" t="inlineStr">
        <is>
          <t>164</t>
        </is>
      </c>
      <c r="E63" s="2">
        <f>HYPERLINK("https://www.britishcycling.org.uk/points?person_id=663281&amp;year=2024&amp;type=national&amp;d=6","Results")</f>
        <v/>
      </c>
    </row>
    <row r="64">
      <c r="A64" t="inlineStr">
        <is>
          <t>63</t>
        </is>
      </c>
      <c r="B64" t="inlineStr">
        <is>
          <t>Tiger Gloag</t>
        </is>
      </c>
      <c r="C64" t="inlineStr">
        <is>
          <t>VC Londres</t>
        </is>
      </c>
      <c r="D64" t="inlineStr">
        <is>
          <t>161</t>
        </is>
      </c>
      <c r="E64" s="2">
        <f>HYPERLINK("https://www.britishcycling.org.uk/points?person_id=548663&amp;year=2024&amp;type=national&amp;d=6","Results")</f>
        <v/>
      </c>
    </row>
    <row r="65">
      <c r="A65" t="inlineStr">
        <is>
          <t>64</t>
        </is>
      </c>
      <c r="B65" t="inlineStr">
        <is>
          <t>Finley Staunton</t>
        </is>
      </c>
      <c r="C65" t="inlineStr">
        <is>
          <t>Sprockets Cycle Club</t>
        </is>
      </c>
      <c r="D65" t="inlineStr">
        <is>
          <t>161</t>
        </is>
      </c>
      <c r="E65" s="2">
        <f>HYPERLINK("https://www.britishcycling.org.uk/points?person_id=883750&amp;year=2024&amp;type=national&amp;d=6","Results")</f>
        <v/>
      </c>
    </row>
    <row r="66">
      <c r="A66" t="inlineStr">
        <is>
          <t>65</t>
        </is>
      </c>
      <c r="B66" t="inlineStr">
        <is>
          <t>William Phillips</t>
        </is>
      </c>
      <c r="C66" t="inlineStr">
        <is>
          <t>Avid Sport</t>
        </is>
      </c>
      <c r="D66" t="inlineStr">
        <is>
          <t>160</t>
        </is>
      </c>
      <c r="E66" s="2">
        <f>HYPERLINK("https://www.britishcycling.org.uk/points?person_id=729549&amp;year=2024&amp;type=national&amp;d=6","Results")</f>
        <v/>
      </c>
    </row>
    <row r="67">
      <c r="A67" t="inlineStr">
        <is>
          <t>66</t>
        </is>
      </c>
      <c r="B67" t="inlineStr">
        <is>
          <t>Oliver Riches</t>
        </is>
      </c>
      <c r="C67" t="inlineStr">
        <is>
          <t>Wheal Velocity</t>
        </is>
      </c>
      <c r="D67" t="inlineStr">
        <is>
          <t>160</t>
        </is>
      </c>
      <c r="E67" s="2">
        <f>HYPERLINK("https://www.britishcycling.org.uk/points?person_id=969735&amp;year=2024&amp;type=national&amp;d=6","Results")</f>
        <v/>
      </c>
    </row>
    <row r="68">
      <c r="A68" t="inlineStr">
        <is>
          <t>67</t>
        </is>
      </c>
      <c r="B68" t="inlineStr">
        <is>
          <t>Rowan Coulthard</t>
        </is>
      </c>
      <c r="C68" t="inlineStr">
        <is>
          <t>CTW Racing</t>
        </is>
      </c>
      <c r="D68" t="inlineStr">
        <is>
          <t>152</t>
        </is>
      </c>
      <c r="E68" s="2">
        <f>HYPERLINK("https://www.britishcycling.org.uk/points?person_id=1018052&amp;year=2024&amp;type=national&amp;d=6","Results")</f>
        <v/>
      </c>
    </row>
    <row r="69">
      <c r="A69" t="inlineStr">
        <is>
          <t>68</t>
        </is>
      </c>
      <c r="B69" t="inlineStr">
        <is>
          <t>Aidan Plail</t>
        </is>
      </c>
      <c r="C69" t="inlineStr">
        <is>
          <t>Bigfoot Youth Cycle Club Ltd</t>
        </is>
      </c>
      <c r="D69" t="inlineStr">
        <is>
          <t>152</t>
        </is>
      </c>
      <c r="E69" s="2">
        <f>HYPERLINK("https://www.britishcycling.org.uk/points?person_id=568295&amp;year=2024&amp;type=national&amp;d=6","Results")</f>
        <v/>
      </c>
    </row>
    <row r="70">
      <c r="A70" t="inlineStr">
        <is>
          <t>69</t>
        </is>
      </c>
      <c r="B70" t="inlineStr">
        <is>
          <t>James Hardisty</t>
        </is>
      </c>
      <c r="C70" t="inlineStr">
        <is>
          <t>Nottingham Clarion CC</t>
        </is>
      </c>
      <c r="D70" t="inlineStr">
        <is>
          <t>144</t>
        </is>
      </c>
      <c r="E70" s="2">
        <f>HYPERLINK("https://www.britishcycling.org.uk/points?person_id=852993&amp;year=2024&amp;type=national&amp;d=6","Results")</f>
        <v/>
      </c>
    </row>
    <row r="71">
      <c r="A71" t="inlineStr">
        <is>
          <t>70</t>
        </is>
      </c>
      <c r="B71" t="inlineStr">
        <is>
          <t>Finley Cummins</t>
        </is>
      </c>
      <c r="C71" t="inlineStr">
        <is>
          <t>WestSide Coaching, 73 Degrees</t>
        </is>
      </c>
      <c r="D71" t="inlineStr">
        <is>
          <t>142</t>
        </is>
      </c>
      <c r="E71" s="2">
        <f>HYPERLINK("https://www.britishcycling.org.uk/points?person_id=939263&amp;year=2024&amp;type=national&amp;d=6","Results")</f>
        <v/>
      </c>
    </row>
    <row r="72">
      <c r="A72" t="inlineStr">
        <is>
          <t>71</t>
        </is>
      </c>
      <c r="B72" t="inlineStr">
        <is>
          <t>Toby Diggins</t>
        </is>
      </c>
      <c r="C72" t="inlineStr">
        <is>
          <t>360cycling</t>
        </is>
      </c>
      <c r="D72" t="inlineStr">
        <is>
          <t>138</t>
        </is>
      </c>
      <c r="E72" s="2">
        <f>HYPERLINK("https://www.britishcycling.org.uk/points?person_id=541348&amp;year=2024&amp;type=national&amp;d=6","Results")</f>
        <v/>
      </c>
    </row>
    <row r="73">
      <c r="A73" t="inlineStr">
        <is>
          <t>72</t>
        </is>
      </c>
      <c r="B73" t="inlineStr">
        <is>
          <t>Hedd Griffiths</t>
        </is>
      </c>
      <c r="C73" t="inlineStr">
        <is>
          <t>Maindy Flyers CC</t>
        </is>
      </c>
      <c r="D73" t="inlineStr">
        <is>
          <t>136</t>
        </is>
      </c>
      <c r="E73" s="2">
        <f>HYPERLINK("https://www.britishcycling.org.uk/points?person_id=617876&amp;year=2024&amp;type=national&amp;d=6","Results")</f>
        <v/>
      </c>
    </row>
    <row r="74">
      <c r="A74" t="inlineStr">
        <is>
          <t>73</t>
        </is>
      </c>
      <c r="B74" t="inlineStr">
        <is>
          <t>Archie Sellers</t>
        </is>
      </c>
      <c r="C74" t="inlineStr">
        <is>
          <t>ESV Manchester</t>
        </is>
      </c>
      <c r="D74" t="inlineStr">
        <is>
          <t>136</t>
        </is>
      </c>
      <c r="E74" s="2">
        <f>HYPERLINK("https://www.britishcycling.org.uk/points?person_id=1039264&amp;year=2024&amp;type=national&amp;d=6","Results")</f>
        <v/>
      </c>
    </row>
    <row r="75">
      <c r="A75" t="inlineStr">
        <is>
          <t>74</t>
        </is>
      </c>
      <c r="B75" t="inlineStr">
        <is>
          <t>Isaac Holwell</t>
        </is>
      </c>
      <c r="C75" t="inlineStr">
        <is>
          <t>Matlock CC</t>
        </is>
      </c>
      <c r="D75" t="inlineStr">
        <is>
          <t>130</t>
        </is>
      </c>
      <c r="E75" s="2">
        <f>HYPERLINK("https://www.britishcycling.org.uk/points?person_id=868481&amp;year=2024&amp;type=national&amp;d=6","Results")</f>
        <v/>
      </c>
    </row>
    <row r="76">
      <c r="A76" t="inlineStr">
        <is>
          <t>75</t>
        </is>
      </c>
      <c r="B76" t="inlineStr">
        <is>
          <t>Matthew Sanderson</t>
        </is>
      </c>
      <c r="C76" t="inlineStr">
        <is>
          <t>VC Azzurri</t>
        </is>
      </c>
      <c r="D76" t="inlineStr">
        <is>
          <t>129</t>
        </is>
      </c>
      <c r="E76" s="2">
        <f>HYPERLINK("https://www.britishcycling.org.uk/points?person_id=1020101&amp;year=2024&amp;type=national&amp;d=6","Results")</f>
        <v/>
      </c>
    </row>
    <row r="77">
      <c r="A77" t="inlineStr">
        <is>
          <t>76</t>
        </is>
      </c>
      <c r="B77" t="inlineStr">
        <is>
          <t>Colin Benezet Minns</t>
        </is>
      </c>
      <c r="C77" t="inlineStr">
        <is>
          <t>Penge Cycle Club</t>
        </is>
      </c>
      <c r="D77" t="inlineStr">
        <is>
          <t>128</t>
        </is>
      </c>
      <c r="E77" s="2">
        <f>HYPERLINK("https://www.britishcycling.org.uk/points?person_id=936624&amp;year=2024&amp;type=national&amp;d=6","Results")</f>
        <v/>
      </c>
    </row>
    <row r="78">
      <c r="A78" t="inlineStr">
        <is>
          <t>77</t>
        </is>
      </c>
      <c r="B78" t="inlineStr">
        <is>
          <t>Will Hocking</t>
        </is>
      </c>
      <c r="C78" t="inlineStr">
        <is>
          <t>North Cheshire Clarion</t>
        </is>
      </c>
      <c r="D78" t="inlineStr">
        <is>
          <t>128</t>
        </is>
      </c>
      <c r="E78" s="2">
        <f>HYPERLINK("https://www.britishcycling.org.uk/points?person_id=937609&amp;year=2024&amp;type=national&amp;d=6","Results")</f>
        <v/>
      </c>
    </row>
    <row r="79">
      <c r="A79" t="inlineStr">
        <is>
          <t>78</t>
        </is>
      </c>
      <c r="B79" t="inlineStr">
        <is>
          <t>Min Matthias Kwan</t>
        </is>
      </c>
      <c r="C79" t="inlineStr">
        <is>
          <t>Verulam - reallymoving.com</t>
        </is>
      </c>
      <c r="D79" t="inlineStr">
        <is>
          <t>128</t>
        </is>
      </c>
      <c r="E79" s="2">
        <f>HYPERLINK("https://www.britishcycling.org.uk/points?person_id=1153683&amp;year=2024&amp;type=national&amp;d=6","Results")</f>
        <v/>
      </c>
    </row>
    <row r="80">
      <c r="A80" t="inlineStr">
        <is>
          <t>79</t>
        </is>
      </c>
      <c r="B80" t="inlineStr">
        <is>
          <t>Xander Brandon-Higgs</t>
        </is>
      </c>
      <c r="C80" t="inlineStr">
        <is>
          <t>Hafren CC</t>
        </is>
      </c>
      <c r="D80" t="inlineStr">
        <is>
          <t>124</t>
        </is>
      </c>
      <c r="E80" s="2">
        <f>HYPERLINK("https://www.britishcycling.org.uk/points?person_id=775750&amp;year=2024&amp;type=national&amp;d=6","Results")</f>
        <v/>
      </c>
    </row>
    <row r="81">
      <c r="A81" t="inlineStr">
        <is>
          <t>80</t>
        </is>
      </c>
      <c r="B81" t="inlineStr">
        <is>
          <t>Joel Gillan</t>
        </is>
      </c>
      <c r="C81" t="inlineStr">
        <is>
          <t>Scotia Offroad Race Team (SORT)</t>
        </is>
      </c>
      <c r="D81" t="inlineStr">
        <is>
          <t>124</t>
        </is>
      </c>
      <c r="E81" s="2">
        <f>HYPERLINK("https://www.britishcycling.org.uk/points?person_id=1030066&amp;year=2024&amp;type=national&amp;d=6","Results")</f>
        <v/>
      </c>
    </row>
    <row r="82">
      <c r="A82" t="inlineStr">
        <is>
          <t>81</t>
        </is>
      </c>
      <c r="B82" t="inlineStr">
        <is>
          <t>Meuryn Rees</t>
        </is>
      </c>
      <c r="C82" t="inlineStr">
        <is>
          <t>The Bulls</t>
        </is>
      </c>
      <c r="D82" t="inlineStr">
        <is>
          <t>124</t>
        </is>
      </c>
      <c r="E82" s="2">
        <f>HYPERLINK("https://www.britishcycling.org.uk/points?person_id=563529&amp;year=2024&amp;type=national&amp;d=6","Results")</f>
        <v/>
      </c>
    </row>
    <row r="83">
      <c r="A83" t="inlineStr">
        <is>
          <t>82</t>
        </is>
      </c>
      <c r="B83" t="inlineStr">
        <is>
          <t>Nathan Morris</t>
        </is>
      </c>
      <c r="C83" t="inlineStr">
        <is>
          <t>Sulis Scorpions Youth CC</t>
        </is>
      </c>
      <c r="D83" t="inlineStr">
        <is>
          <t>122</t>
        </is>
      </c>
      <c r="E83" s="2">
        <f>HYPERLINK("https://www.britishcycling.org.uk/points?person_id=1094737&amp;year=2024&amp;type=national&amp;d=6","Results")</f>
        <v/>
      </c>
    </row>
    <row r="84">
      <c r="A84" t="inlineStr">
        <is>
          <t>83</t>
        </is>
      </c>
      <c r="B84" t="inlineStr">
        <is>
          <t>Ivo Thwaites</t>
        </is>
      </c>
      <c r="C84" t="inlineStr">
        <is>
          <t>Southborough &amp; District Whls</t>
        </is>
      </c>
      <c r="D84" t="inlineStr">
        <is>
          <t>122</t>
        </is>
      </c>
      <c r="E84" s="2">
        <f>HYPERLINK("https://www.britishcycling.org.uk/points?person_id=601755&amp;year=2024&amp;type=national&amp;d=6","Results")</f>
        <v/>
      </c>
    </row>
    <row r="85">
      <c r="A85" t="inlineStr">
        <is>
          <t>84</t>
        </is>
      </c>
      <c r="B85" t="inlineStr">
        <is>
          <t>Joseph Brown</t>
        </is>
      </c>
      <c r="C85" t="inlineStr">
        <is>
          <t>Derwentside CC</t>
        </is>
      </c>
      <c r="D85" t="inlineStr">
        <is>
          <t>118</t>
        </is>
      </c>
      <c r="E85" s="2">
        <f>HYPERLINK("https://www.britishcycling.org.uk/points?person_id=771165&amp;year=2024&amp;type=national&amp;d=6","Results")</f>
        <v/>
      </c>
    </row>
    <row r="86">
      <c r="A86" t="inlineStr">
        <is>
          <t>85</t>
        </is>
      </c>
      <c r="B86" t="inlineStr">
        <is>
          <t>Gabriel Rees</t>
        </is>
      </c>
      <c r="C86" t="inlineStr"/>
      <c r="D86" t="inlineStr">
        <is>
          <t>117</t>
        </is>
      </c>
      <c r="E86" s="2">
        <f>HYPERLINK("https://www.britishcycling.org.uk/points?person_id=1017386&amp;year=2024&amp;type=national&amp;d=6","Results")</f>
        <v/>
      </c>
    </row>
    <row r="87">
      <c r="A87" t="inlineStr">
        <is>
          <t>86</t>
        </is>
      </c>
      <c r="B87" t="inlineStr">
        <is>
          <t>Matthew Mather</t>
        </is>
      </c>
      <c r="C87" t="inlineStr">
        <is>
          <t>The Grit Cartel</t>
        </is>
      </c>
      <c r="D87" t="inlineStr">
        <is>
          <t>115</t>
        </is>
      </c>
      <c r="E87" s="2">
        <f>HYPERLINK("https://www.britishcycling.org.uk/points?person_id=605672&amp;year=2024&amp;type=national&amp;d=6","Results")</f>
        <v/>
      </c>
    </row>
    <row r="88">
      <c r="A88" t="inlineStr">
        <is>
          <t>87</t>
        </is>
      </c>
      <c r="B88" t="inlineStr">
        <is>
          <t>Ted Carey</t>
        </is>
      </c>
      <c r="C88" t="inlineStr">
        <is>
          <t>Harrogate Nova CC</t>
        </is>
      </c>
      <c r="D88" t="inlineStr">
        <is>
          <t>113</t>
        </is>
      </c>
      <c r="E88" s="2">
        <f>HYPERLINK("https://www.britishcycling.org.uk/points?person_id=951018&amp;year=2024&amp;type=national&amp;d=6","Results")</f>
        <v/>
      </c>
    </row>
    <row r="89">
      <c r="A89" t="inlineStr">
        <is>
          <t>88</t>
        </is>
      </c>
      <c r="B89" t="inlineStr">
        <is>
          <t>Meryn Kitching</t>
        </is>
      </c>
      <c r="C89" t="inlineStr">
        <is>
          <t>Mid Devon CC</t>
        </is>
      </c>
      <c r="D89" t="inlineStr">
        <is>
          <t>112</t>
        </is>
      </c>
      <c r="E89" s="2">
        <f>HYPERLINK("https://www.britishcycling.org.uk/points?person_id=642844&amp;year=2024&amp;type=national&amp;d=6","Results")</f>
        <v/>
      </c>
    </row>
    <row r="90">
      <c r="A90" t="inlineStr">
        <is>
          <t>89</t>
        </is>
      </c>
      <c r="B90" t="inlineStr">
        <is>
          <t>Gus Lawson</t>
        </is>
      </c>
      <c r="C90" t="inlineStr">
        <is>
          <t>Pentland Racers</t>
        </is>
      </c>
      <c r="D90" t="inlineStr">
        <is>
          <t>110</t>
        </is>
      </c>
      <c r="E90" s="2">
        <f>HYPERLINK("https://www.britishcycling.org.uk/points?person_id=857074&amp;year=2024&amp;type=national&amp;d=6","Results")</f>
        <v/>
      </c>
    </row>
    <row r="91">
      <c r="A91" t="inlineStr">
        <is>
          <t>90</t>
        </is>
      </c>
      <c r="B91" t="inlineStr">
        <is>
          <t>William McEwan</t>
        </is>
      </c>
      <c r="C91" t="inlineStr">
        <is>
          <t>NSP Cycling Team</t>
        </is>
      </c>
      <c r="D91" t="inlineStr">
        <is>
          <t>109</t>
        </is>
      </c>
      <c r="E91" s="2">
        <f>HYPERLINK("https://www.britishcycling.org.uk/points?person_id=946978&amp;year=2024&amp;type=national&amp;d=6","Results")</f>
        <v/>
      </c>
    </row>
    <row r="92">
      <c r="A92" t="inlineStr">
        <is>
          <t>91</t>
        </is>
      </c>
      <c r="B92" t="inlineStr">
        <is>
          <t>Nathaniel Lemanski</t>
        </is>
      </c>
      <c r="C92" t="inlineStr">
        <is>
          <t>Lee Valley Youth Cycling Club</t>
        </is>
      </c>
      <c r="D92" t="inlineStr">
        <is>
          <t>108</t>
        </is>
      </c>
      <c r="E92" s="2">
        <f>HYPERLINK("https://www.britishcycling.org.uk/points?person_id=617189&amp;year=2024&amp;type=national&amp;d=6","Results")</f>
        <v/>
      </c>
    </row>
    <row r="93">
      <c r="A93" t="inlineStr">
        <is>
          <t>92</t>
        </is>
      </c>
      <c r="B93" t="inlineStr">
        <is>
          <t>Samuel Gray</t>
        </is>
      </c>
      <c r="C93" t="inlineStr">
        <is>
          <t>Mid Devon CC</t>
        </is>
      </c>
      <c r="D93" t="inlineStr">
        <is>
          <t>106</t>
        </is>
      </c>
      <c r="E93" s="2">
        <f>HYPERLINK("https://www.britishcycling.org.uk/points?person_id=1033423&amp;year=2024&amp;type=national&amp;d=6","Results")</f>
        <v/>
      </c>
    </row>
    <row r="94">
      <c r="A94" t="inlineStr">
        <is>
          <t>93</t>
        </is>
      </c>
      <c r="B94" t="inlineStr">
        <is>
          <t>Lewis McAusland</t>
        </is>
      </c>
      <c r="C94" t="inlineStr">
        <is>
          <t>Falkirk Junior Bike Club</t>
        </is>
      </c>
      <c r="D94" t="inlineStr">
        <is>
          <t>106</t>
        </is>
      </c>
      <c r="E94" s="2">
        <f>HYPERLINK("https://www.britishcycling.org.uk/points?person_id=772390&amp;year=2024&amp;type=national&amp;d=6","Results")</f>
        <v/>
      </c>
    </row>
    <row r="95">
      <c r="A95" t="inlineStr">
        <is>
          <t>94</t>
        </is>
      </c>
      <c r="B95" t="inlineStr">
        <is>
          <t>Theo Mcfadden</t>
        </is>
      </c>
      <c r="C95" t="inlineStr">
        <is>
          <t>Inspire Racing Adaston Scape</t>
        </is>
      </c>
      <c r="D95" t="inlineStr">
        <is>
          <t>105</t>
        </is>
      </c>
      <c r="E95" s="2">
        <f>HYPERLINK("https://www.britishcycling.org.uk/points?person_id=600125&amp;year=2024&amp;type=national&amp;d=6","Results")</f>
        <v/>
      </c>
    </row>
    <row r="96">
      <c r="A96" t="inlineStr">
        <is>
          <t>95</t>
        </is>
      </c>
      <c r="B96" t="inlineStr">
        <is>
          <t>Alfie Steed</t>
        </is>
      </c>
      <c r="C96" t="inlineStr">
        <is>
          <t>Sherwood Pines Cycles Forme</t>
        </is>
      </c>
      <c r="D96" t="inlineStr">
        <is>
          <t>105</t>
        </is>
      </c>
      <c r="E96" s="2">
        <f>HYPERLINK("https://www.britishcycling.org.uk/points?person_id=758440&amp;year=2024&amp;type=national&amp;d=6","Results")</f>
        <v/>
      </c>
    </row>
    <row r="97">
      <c r="A97" t="inlineStr">
        <is>
          <t>96</t>
        </is>
      </c>
      <c r="B97" t="inlineStr">
        <is>
          <t>Ben Picton</t>
        </is>
      </c>
      <c r="C97" t="inlineStr">
        <is>
          <t>Mid Devon CC</t>
        </is>
      </c>
      <c r="D97" t="inlineStr">
        <is>
          <t>104</t>
        </is>
      </c>
      <c r="E97" s="2">
        <f>HYPERLINK("https://www.britishcycling.org.uk/points?person_id=613320&amp;year=2024&amp;type=national&amp;d=6","Results")</f>
        <v/>
      </c>
    </row>
    <row r="98">
      <c r="A98" t="inlineStr">
        <is>
          <t>97</t>
        </is>
      </c>
      <c r="B98" t="inlineStr">
        <is>
          <t>Malakhi Bailey</t>
        </is>
      </c>
      <c r="C98" t="inlineStr">
        <is>
          <t>Halesowen A &amp; CC</t>
        </is>
      </c>
      <c r="D98" t="inlineStr">
        <is>
          <t>103</t>
        </is>
      </c>
      <c r="E98" s="2">
        <f>HYPERLINK("https://www.britishcycling.org.uk/points?person_id=897149&amp;year=2024&amp;type=national&amp;d=6","Results")</f>
        <v/>
      </c>
    </row>
    <row r="99">
      <c r="A99" t="inlineStr">
        <is>
          <t>98</t>
        </is>
      </c>
      <c r="B99" t="inlineStr">
        <is>
          <t>Thomas Jones</t>
        </is>
      </c>
      <c r="C99" t="inlineStr"/>
      <c r="D99" t="inlineStr">
        <is>
          <t>102</t>
        </is>
      </c>
      <c r="E99" s="2">
        <f>HYPERLINK("https://www.britishcycling.org.uk/points?person_id=1086205&amp;year=2024&amp;type=national&amp;d=6","Results")</f>
        <v/>
      </c>
    </row>
    <row r="100">
      <c r="A100" t="inlineStr">
        <is>
          <t>99</t>
        </is>
      </c>
      <c r="B100" t="inlineStr">
        <is>
          <t>Thomas Nabb</t>
        </is>
      </c>
      <c r="C100" t="inlineStr">
        <is>
          <t>Otley CC</t>
        </is>
      </c>
      <c r="D100" t="inlineStr">
        <is>
          <t>99</t>
        </is>
      </c>
      <c r="E100" s="2">
        <f>HYPERLINK("https://www.britishcycling.org.uk/points?person_id=565317&amp;year=2024&amp;type=national&amp;d=6","Results")</f>
        <v/>
      </c>
    </row>
    <row r="101">
      <c r="A101" t="inlineStr">
        <is>
          <t>100</t>
        </is>
      </c>
      <c r="B101" t="inlineStr">
        <is>
          <t>Thomas Booth</t>
        </is>
      </c>
      <c r="C101" t="inlineStr">
        <is>
          <t>CTW Racing</t>
        </is>
      </c>
      <c r="D101" t="inlineStr">
        <is>
          <t>98</t>
        </is>
      </c>
      <c r="E101" s="2">
        <f>HYPERLINK("https://www.britishcycling.org.uk/points?person_id=1005638&amp;year=2024&amp;type=national&amp;d=6","Results")</f>
        <v/>
      </c>
    </row>
    <row r="102">
      <c r="A102" t="inlineStr">
        <is>
          <t>101</t>
        </is>
      </c>
      <c r="B102" t="inlineStr">
        <is>
          <t>Ronan Finlinson</t>
        </is>
      </c>
      <c r="C102" t="inlineStr">
        <is>
          <t>Redditch Road &amp; Path CC</t>
        </is>
      </c>
      <c r="D102" t="inlineStr">
        <is>
          <t>98</t>
        </is>
      </c>
      <c r="E102" s="2">
        <f>HYPERLINK("https://www.britishcycling.org.uk/points?person_id=509944&amp;year=2024&amp;type=national&amp;d=6","Results")</f>
        <v/>
      </c>
    </row>
    <row r="103">
      <c r="A103" t="inlineStr">
        <is>
          <t>102</t>
        </is>
      </c>
      <c r="B103" t="inlineStr">
        <is>
          <t>Reuben McLardie</t>
        </is>
      </c>
      <c r="C103" t="inlineStr">
        <is>
          <t>Johnstone Wheelers Cycling Club</t>
        </is>
      </c>
      <c r="D103" t="inlineStr">
        <is>
          <t>96</t>
        </is>
      </c>
      <c r="E103" s="2">
        <f>HYPERLINK("https://www.britishcycling.org.uk/points?person_id=1012962&amp;year=2024&amp;type=national&amp;d=6","Results")</f>
        <v/>
      </c>
    </row>
    <row r="104">
      <c r="A104" t="inlineStr">
        <is>
          <t>103</t>
        </is>
      </c>
      <c r="B104" t="inlineStr">
        <is>
          <t>Claude Robinson</t>
        </is>
      </c>
      <c r="C104" t="inlineStr">
        <is>
          <t>ESV Manchester</t>
        </is>
      </c>
      <c r="D104" t="inlineStr">
        <is>
          <t>95</t>
        </is>
      </c>
      <c r="E104" s="2">
        <f>HYPERLINK("https://www.britishcycling.org.uk/points?person_id=1118031&amp;year=2024&amp;type=national&amp;d=6","Results")</f>
        <v/>
      </c>
    </row>
    <row r="105">
      <c r="A105" t="inlineStr">
        <is>
          <t>104</t>
        </is>
      </c>
      <c r="B105" t="inlineStr">
        <is>
          <t>Finn Willard</t>
        </is>
      </c>
      <c r="C105" t="inlineStr">
        <is>
          <t>Cheltenham Town Wheelers</t>
        </is>
      </c>
      <c r="D105" t="inlineStr">
        <is>
          <t>94</t>
        </is>
      </c>
      <c r="E105" s="2">
        <f>HYPERLINK("https://www.britishcycling.org.uk/points?person_id=1006598&amp;year=2024&amp;type=national&amp;d=6","Results")</f>
        <v/>
      </c>
    </row>
    <row r="106">
      <c r="A106" t="inlineStr">
        <is>
          <t>105</t>
        </is>
      </c>
      <c r="B106" t="inlineStr">
        <is>
          <t>Harvey Woodroffe</t>
        </is>
      </c>
      <c r="C106" t="inlineStr">
        <is>
          <t>Ely &amp; District CC</t>
        </is>
      </c>
      <c r="D106" t="inlineStr">
        <is>
          <t>94</t>
        </is>
      </c>
      <c r="E106" s="2">
        <f>HYPERLINK("https://www.britishcycling.org.uk/points?person_id=956719&amp;year=2024&amp;type=national&amp;d=6","Results")</f>
        <v/>
      </c>
    </row>
    <row r="107">
      <c r="A107" t="inlineStr">
        <is>
          <t>106</t>
        </is>
      </c>
      <c r="B107" t="inlineStr">
        <is>
          <t>Felix Oliver</t>
        </is>
      </c>
      <c r="C107" t="inlineStr">
        <is>
          <t>Sheffield Youth Cycling Club</t>
        </is>
      </c>
      <c r="D107" t="inlineStr">
        <is>
          <t>92</t>
        </is>
      </c>
      <c r="E107" s="2">
        <f>HYPERLINK("https://www.britishcycling.org.uk/points?person_id=1007386&amp;year=2024&amp;type=national&amp;d=6","Results")</f>
        <v/>
      </c>
    </row>
    <row r="108">
      <c r="A108" t="inlineStr">
        <is>
          <t>107</t>
        </is>
      </c>
      <c r="B108" t="inlineStr">
        <is>
          <t>Joseph Throp</t>
        </is>
      </c>
      <c r="C108" t="inlineStr">
        <is>
          <t>Matlock CC</t>
        </is>
      </c>
      <c r="D108" t="inlineStr">
        <is>
          <t>90</t>
        </is>
      </c>
      <c r="E108" s="2">
        <f>HYPERLINK("https://www.britishcycling.org.uk/points?person_id=768971&amp;year=2024&amp;type=national&amp;d=6","Results")</f>
        <v/>
      </c>
    </row>
    <row r="109">
      <c r="A109" t="inlineStr">
        <is>
          <t>108</t>
        </is>
      </c>
      <c r="B109" t="inlineStr">
        <is>
          <t>Harry Moran</t>
        </is>
      </c>
      <c r="C109" t="inlineStr">
        <is>
          <t>Palmer Park Velo RT</t>
        </is>
      </c>
      <c r="D109" t="inlineStr">
        <is>
          <t>89</t>
        </is>
      </c>
      <c r="E109" s="2">
        <f>HYPERLINK("https://www.britishcycling.org.uk/points?person_id=629821&amp;year=2024&amp;type=national&amp;d=6","Results")</f>
        <v/>
      </c>
    </row>
    <row r="110">
      <c r="A110" t="inlineStr">
        <is>
          <t>109</t>
        </is>
      </c>
      <c r="B110" t="inlineStr">
        <is>
          <t>Otto Balaam</t>
        </is>
      </c>
      <c r="C110" t="inlineStr">
        <is>
          <t>Herne Hill Youth CC</t>
        </is>
      </c>
      <c r="D110" t="inlineStr">
        <is>
          <t>88</t>
        </is>
      </c>
      <c r="E110" s="2">
        <f>HYPERLINK("https://www.britishcycling.org.uk/points?person_id=1073709&amp;year=2024&amp;type=national&amp;d=6","Results")</f>
        <v/>
      </c>
    </row>
    <row r="111">
      <c r="A111" t="inlineStr">
        <is>
          <t>110</t>
        </is>
      </c>
      <c r="B111" t="inlineStr">
        <is>
          <t>William Harvey</t>
        </is>
      </c>
      <c r="C111" t="inlineStr">
        <is>
          <t>North Cheshire Clarion</t>
        </is>
      </c>
      <c r="D111" t="inlineStr">
        <is>
          <t>88</t>
        </is>
      </c>
      <c r="E111" s="2">
        <f>HYPERLINK("https://www.britishcycling.org.uk/points?person_id=930950&amp;year=2024&amp;type=national&amp;d=6","Results")</f>
        <v/>
      </c>
    </row>
    <row r="112">
      <c r="A112" t="inlineStr">
        <is>
          <t>111</t>
        </is>
      </c>
      <c r="B112" t="inlineStr">
        <is>
          <t>Finley Hudson</t>
        </is>
      </c>
      <c r="C112" t="inlineStr">
        <is>
          <t>Harrogate Nova Race Team</t>
        </is>
      </c>
      <c r="D112" t="inlineStr">
        <is>
          <t>87</t>
        </is>
      </c>
      <c r="E112" s="2">
        <f>HYPERLINK("https://www.britishcycling.org.uk/points?person_id=943545&amp;year=2024&amp;type=national&amp;d=6","Results")</f>
        <v/>
      </c>
    </row>
    <row r="113">
      <c r="A113" t="inlineStr">
        <is>
          <t>112</t>
        </is>
      </c>
      <c r="B113" t="inlineStr">
        <is>
          <t>Oliver Paterson</t>
        </is>
      </c>
      <c r="C113" t="inlineStr">
        <is>
          <t>West Lothian Clarion CC</t>
        </is>
      </c>
      <c r="D113" t="inlineStr">
        <is>
          <t>87</t>
        </is>
      </c>
      <c r="E113" s="2">
        <f>HYPERLINK("https://www.britishcycling.org.uk/points?person_id=1035635&amp;year=2024&amp;type=national&amp;d=6","Results")</f>
        <v/>
      </c>
    </row>
    <row r="114">
      <c r="A114" t="inlineStr">
        <is>
          <t>113</t>
        </is>
      </c>
      <c r="B114" t="inlineStr">
        <is>
          <t>Franklin Morris</t>
        </is>
      </c>
      <c r="C114" t="inlineStr">
        <is>
          <t>Southborough &amp; District Whls</t>
        </is>
      </c>
      <c r="D114" t="inlineStr">
        <is>
          <t>86</t>
        </is>
      </c>
      <c r="E114" s="2">
        <f>HYPERLINK("https://www.britishcycling.org.uk/points?person_id=466971&amp;year=2024&amp;type=national&amp;d=6","Results")</f>
        <v/>
      </c>
    </row>
    <row r="115">
      <c r="A115" t="inlineStr">
        <is>
          <t>114</t>
        </is>
      </c>
      <c r="B115" t="inlineStr">
        <is>
          <t>Sam Oldham</t>
        </is>
      </c>
      <c r="C115" t="inlineStr">
        <is>
          <t>Barrow Central Wheelers</t>
        </is>
      </c>
      <c r="D115" t="inlineStr">
        <is>
          <t>86</t>
        </is>
      </c>
      <c r="E115" s="2">
        <f>HYPERLINK("https://www.britishcycling.org.uk/points?person_id=578721&amp;year=2024&amp;type=national&amp;d=6","Results")</f>
        <v/>
      </c>
    </row>
    <row r="116">
      <c r="A116" t="inlineStr">
        <is>
          <t>115</t>
        </is>
      </c>
      <c r="B116" t="inlineStr">
        <is>
          <t>Harry Read</t>
        </is>
      </c>
      <c r="C116" t="inlineStr">
        <is>
          <t>Manilla Cycling</t>
        </is>
      </c>
      <c r="D116" t="inlineStr">
        <is>
          <t>84</t>
        </is>
      </c>
      <c r="E116" s="2">
        <f>HYPERLINK("https://www.britishcycling.org.uk/points?person_id=929935&amp;year=2024&amp;type=national&amp;d=6","Results")</f>
        <v/>
      </c>
    </row>
    <row r="117">
      <c r="A117" t="inlineStr">
        <is>
          <t>116</t>
        </is>
      </c>
      <c r="B117" t="inlineStr">
        <is>
          <t>Jack Wright</t>
        </is>
      </c>
      <c r="C117" t="inlineStr">
        <is>
          <t>Hillingdon Slipstreamers</t>
        </is>
      </c>
      <c r="D117" t="inlineStr">
        <is>
          <t>84</t>
        </is>
      </c>
      <c r="E117" s="2">
        <f>HYPERLINK("https://www.britishcycling.org.uk/points?person_id=1086483&amp;year=2024&amp;type=national&amp;d=6","Results")</f>
        <v/>
      </c>
    </row>
    <row r="118">
      <c r="A118" t="inlineStr">
        <is>
          <t>117</t>
        </is>
      </c>
      <c r="B118" t="inlineStr">
        <is>
          <t>Lucas Bowman</t>
        </is>
      </c>
      <c r="C118" t="inlineStr">
        <is>
          <t>Ely &amp; District CC</t>
        </is>
      </c>
      <c r="D118" t="inlineStr">
        <is>
          <t>82</t>
        </is>
      </c>
      <c r="E118" s="2">
        <f>HYPERLINK("https://www.britishcycling.org.uk/points?person_id=861737&amp;year=2024&amp;type=national&amp;d=6","Results")</f>
        <v/>
      </c>
    </row>
    <row r="119">
      <c r="A119" t="inlineStr">
        <is>
          <t>118</t>
        </is>
      </c>
      <c r="B119" t="inlineStr">
        <is>
          <t>Rory Hayes</t>
        </is>
      </c>
      <c r="C119" t="inlineStr">
        <is>
          <t>Herne Hill Youth CC</t>
        </is>
      </c>
      <c r="D119" t="inlineStr">
        <is>
          <t>81</t>
        </is>
      </c>
      <c r="E119" s="2">
        <f>HYPERLINK("https://www.britishcycling.org.uk/points?person_id=1127099&amp;year=2024&amp;type=national&amp;d=6","Results")</f>
        <v/>
      </c>
    </row>
    <row r="120">
      <c r="A120" t="inlineStr">
        <is>
          <t>119</t>
        </is>
      </c>
      <c r="B120" t="inlineStr">
        <is>
          <t>Robert Lewis</t>
        </is>
      </c>
      <c r="C120" t="inlineStr">
        <is>
          <t>The Bulls</t>
        </is>
      </c>
      <c r="D120" t="inlineStr">
        <is>
          <t>79</t>
        </is>
      </c>
      <c r="E120" s="2">
        <f>HYPERLINK("https://www.britishcycling.org.uk/points?person_id=537601&amp;year=2024&amp;type=national&amp;d=6","Results")</f>
        <v/>
      </c>
    </row>
    <row r="121">
      <c r="A121" t="inlineStr">
        <is>
          <t>120</t>
        </is>
      </c>
      <c r="B121" t="inlineStr">
        <is>
          <t>Carl Sillitoe</t>
        </is>
      </c>
      <c r="C121" t="inlineStr">
        <is>
          <t>NSP Cycling Team</t>
        </is>
      </c>
      <c r="D121" t="inlineStr">
        <is>
          <t>79</t>
        </is>
      </c>
      <c r="E121" s="2">
        <f>HYPERLINK("https://www.britishcycling.org.uk/points?person_id=1142085&amp;year=2024&amp;type=national&amp;d=6","Results")</f>
        <v/>
      </c>
    </row>
    <row r="122">
      <c r="A122" t="inlineStr">
        <is>
          <t>121</t>
        </is>
      </c>
      <c r="B122" t="inlineStr">
        <is>
          <t>Olly Bowen</t>
        </is>
      </c>
      <c r="C122" t="inlineStr">
        <is>
          <t>Gateway Racing</t>
        </is>
      </c>
      <c r="D122" t="inlineStr">
        <is>
          <t>78</t>
        </is>
      </c>
      <c r="E122" s="2">
        <f>HYPERLINK("https://www.britishcycling.org.uk/points?person_id=310591&amp;year=2024&amp;type=national&amp;d=6","Results")</f>
        <v/>
      </c>
    </row>
    <row r="123">
      <c r="A123" t="inlineStr">
        <is>
          <t>122</t>
        </is>
      </c>
      <c r="B123" t="inlineStr">
        <is>
          <t>Aubrey Elmer</t>
        </is>
      </c>
      <c r="C123" t="inlineStr">
        <is>
          <t>Welland Valley CC</t>
        </is>
      </c>
      <c r="D123" t="inlineStr">
        <is>
          <t>78</t>
        </is>
      </c>
      <c r="E123" s="2">
        <f>HYPERLINK("https://www.britishcycling.org.uk/points?person_id=1026108&amp;year=2024&amp;type=national&amp;d=6","Results")</f>
        <v/>
      </c>
    </row>
    <row r="124">
      <c r="A124" t="inlineStr">
        <is>
          <t>123</t>
        </is>
      </c>
      <c r="B124" t="inlineStr">
        <is>
          <t>Timothée Gay</t>
        </is>
      </c>
      <c r="C124" t="inlineStr"/>
      <c r="D124" t="inlineStr">
        <is>
          <t>78</t>
        </is>
      </c>
      <c r="E124" s="2">
        <f>HYPERLINK("https://www.britishcycling.org.uk/points?person_id=1086685&amp;year=2024&amp;type=national&amp;d=6","Results")</f>
        <v/>
      </c>
    </row>
    <row r="125">
      <c r="A125" t="inlineStr">
        <is>
          <t>124</t>
        </is>
      </c>
      <c r="B125" t="inlineStr">
        <is>
          <t>Benji Pike</t>
        </is>
      </c>
      <c r="C125" t="inlineStr">
        <is>
          <t>Sotonia CC</t>
        </is>
      </c>
      <c r="D125" t="inlineStr">
        <is>
          <t>78</t>
        </is>
      </c>
      <c r="E125" s="2">
        <f>HYPERLINK("https://www.britishcycling.org.uk/points?person_id=851599&amp;year=2024&amp;type=national&amp;d=6","Results")</f>
        <v/>
      </c>
    </row>
    <row r="126">
      <c r="A126" t="inlineStr">
        <is>
          <t>125</t>
        </is>
      </c>
      <c r="B126" t="inlineStr">
        <is>
          <t>Samuel de la Mare</t>
        </is>
      </c>
      <c r="C126" t="inlineStr">
        <is>
          <t>VC Londres</t>
        </is>
      </c>
      <c r="D126" t="inlineStr">
        <is>
          <t>76</t>
        </is>
      </c>
      <c r="E126" s="2">
        <f>HYPERLINK("https://www.britishcycling.org.uk/points?person_id=614002&amp;year=2024&amp;type=national&amp;d=6","Results")</f>
        <v/>
      </c>
    </row>
    <row r="127">
      <c r="A127" t="inlineStr">
        <is>
          <t>126</t>
        </is>
      </c>
      <c r="B127" t="inlineStr">
        <is>
          <t>Oscar Makepeace</t>
        </is>
      </c>
      <c r="C127" t="inlineStr">
        <is>
          <t>Hetton Hawks Cycling Club</t>
        </is>
      </c>
      <c r="D127" t="inlineStr">
        <is>
          <t>76</t>
        </is>
      </c>
      <c r="E127" s="2">
        <f>HYPERLINK("https://www.britishcycling.org.uk/points?person_id=1029702&amp;year=2024&amp;type=national&amp;d=6","Results")</f>
        <v/>
      </c>
    </row>
    <row r="128">
      <c r="A128" t="inlineStr">
        <is>
          <t>127</t>
        </is>
      </c>
      <c r="B128" t="inlineStr">
        <is>
          <t>Freddie Farr</t>
        </is>
      </c>
      <c r="C128" t="inlineStr">
        <is>
          <t>Matlock CC</t>
        </is>
      </c>
      <c r="D128" t="inlineStr">
        <is>
          <t>75</t>
        </is>
      </c>
      <c r="E128" s="2">
        <f>HYPERLINK("https://www.britishcycling.org.uk/points?person_id=732041&amp;year=2024&amp;type=national&amp;d=6","Results")</f>
        <v/>
      </c>
    </row>
    <row r="129">
      <c r="A129" t="inlineStr">
        <is>
          <t>128</t>
        </is>
      </c>
      <c r="B129" t="inlineStr">
        <is>
          <t>Asher Gray</t>
        </is>
      </c>
      <c r="C129" t="inlineStr">
        <is>
          <t>Welwyn Wheelers CC</t>
        </is>
      </c>
      <c r="D129" t="inlineStr">
        <is>
          <t>74</t>
        </is>
      </c>
      <c r="E129" s="2">
        <f>HYPERLINK("https://www.britishcycling.org.uk/points?person_id=981197&amp;year=2024&amp;type=national&amp;d=6","Results")</f>
        <v/>
      </c>
    </row>
    <row r="130">
      <c r="A130" t="inlineStr">
        <is>
          <t>129</t>
        </is>
      </c>
      <c r="B130" t="inlineStr">
        <is>
          <t>Guy Herrington</t>
        </is>
      </c>
      <c r="C130" t="inlineStr">
        <is>
          <t>Oxonian CC</t>
        </is>
      </c>
      <c r="D130" t="inlineStr">
        <is>
          <t>74</t>
        </is>
      </c>
      <c r="E130" s="2">
        <f>HYPERLINK("https://www.britishcycling.org.uk/points?person_id=1027935&amp;year=2024&amp;type=national&amp;d=6","Results")</f>
        <v/>
      </c>
    </row>
    <row r="131">
      <c r="A131" t="inlineStr">
        <is>
          <t>130</t>
        </is>
      </c>
      <c r="B131" t="inlineStr">
        <is>
          <t>Rocco Wilde</t>
        </is>
      </c>
      <c r="C131" t="inlineStr">
        <is>
          <t>ESV Manchester</t>
        </is>
      </c>
      <c r="D131" t="inlineStr">
        <is>
          <t>74</t>
        </is>
      </c>
      <c r="E131" s="2">
        <f>HYPERLINK("https://www.britishcycling.org.uk/points?person_id=1074359&amp;year=2024&amp;type=national&amp;d=6","Results")</f>
        <v/>
      </c>
    </row>
    <row r="132">
      <c r="A132" t="inlineStr">
        <is>
          <t>131</t>
        </is>
      </c>
      <c r="B132" t="inlineStr">
        <is>
          <t>Oliver Glass</t>
        </is>
      </c>
      <c r="C132" t="inlineStr">
        <is>
          <t>Hetton Hawks Cycling Club</t>
        </is>
      </c>
      <c r="D132" t="inlineStr">
        <is>
          <t>73</t>
        </is>
      </c>
      <c r="E132" s="2">
        <f>HYPERLINK("https://www.britishcycling.org.uk/points?person_id=672659&amp;year=2024&amp;type=national&amp;d=6","Results")</f>
        <v/>
      </c>
    </row>
    <row r="133">
      <c r="A133" t="inlineStr">
        <is>
          <t>132</t>
        </is>
      </c>
      <c r="B133" t="inlineStr">
        <is>
          <t>Rupert Hext</t>
        </is>
      </c>
      <c r="C133" t="inlineStr">
        <is>
          <t>Oneplanet Adventure</t>
        </is>
      </c>
      <c r="D133" t="inlineStr">
        <is>
          <t>72</t>
        </is>
      </c>
      <c r="E133" s="2">
        <f>HYPERLINK("https://www.britishcycling.org.uk/points?person_id=517107&amp;year=2024&amp;type=national&amp;d=6","Results")</f>
        <v/>
      </c>
    </row>
    <row r="134">
      <c r="A134" t="inlineStr">
        <is>
          <t>133</t>
        </is>
      </c>
      <c r="B134" t="inlineStr">
        <is>
          <t>Jake Jardine</t>
        </is>
      </c>
      <c r="C134" t="inlineStr">
        <is>
          <t>Scotia Offroad Race Team (SORT)</t>
        </is>
      </c>
      <c r="D134" t="inlineStr">
        <is>
          <t>72</t>
        </is>
      </c>
      <c r="E134" s="2">
        <f>HYPERLINK("https://www.britishcycling.org.uk/points?person_id=944313&amp;year=2024&amp;type=national&amp;d=6","Results")</f>
        <v/>
      </c>
    </row>
    <row r="135">
      <c r="A135" t="inlineStr">
        <is>
          <t>134</t>
        </is>
      </c>
      <c r="B135" t="inlineStr">
        <is>
          <t>Alfie Punter</t>
        </is>
      </c>
      <c r="C135" t="inlineStr">
        <is>
          <t>Stratford CC</t>
        </is>
      </c>
      <c r="D135" t="inlineStr">
        <is>
          <t>72</t>
        </is>
      </c>
      <c r="E135" s="2">
        <f>HYPERLINK("https://www.britishcycling.org.uk/points?person_id=991916&amp;year=2024&amp;type=national&amp;d=6","Results")</f>
        <v/>
      </c>
    </row>
    <row r="136">
      <c r="A136" t="inlineStr">
        <is>
          <t>135</t>
        </is>
      </c>
      <c r="B136" t="inlineStr">
        <is>
          <t>Joseph Brearley</t>
        </is>
      </c>
      <c r="C136" t="inlineStr">
        <is>
          <t>City RC (Hull)</t>
        </is>
      </c>
      <c r="D136" t="inlineStr">
        <is>
          <t>70</t>
        </is>
      </c>
      <c r="E136" s="2">
        <f>HYPERLINK("https://www.britishcycling.org.uk/points?person_id=1145610&amp;year=2024&amp;type=national&amp;d=6","Results")</f>
        <v/>
      </c>
    </row>
    <row r="137">
      <c r="A137" t="inlineStr">
        <is>
          <t>136</t>
        </is>
      </c>
      <c r="B137" t="inlineStr">
        <is>
          <t>Olly Smith</t>
        </is>
      </c>
      <c r="C137" t="inlineStr">
        <is>
          <t>ROTOR Race Team</t>
        </is>
      </c>
      <c r="D137" t="inlineStr">
        <is>
          <t>70</t>
        </is>
      </c>
      <c r="E137" s="2">
        <f>HYPERLINK("https://www.britishcycling.org.uk/points?person_id=1037961&amp;year=2024&amp;type=national&amp;d=6","Results")</f>
        <v/>
      </c>
    </row>
    <row r="138">
      <c r="A138" t="inlineStr">
        <is>
          <t>137</t>
        </is>
      </c>
      <c r="B138" t="inlineStr">
        <is>
          <t>Lochy Weston</t>
        </is>
      </c>
      <c r="C138" t="inlineStr">
        <is>
          <t>Bigfoot Youth Cycle Club Ltd</t>
        </is>
      </c>
      <c r="D138" t="inlineStr">
        <is>
          <t>70</t>
        </is>
      </c>
      <c r="E138" s="2">
        <f>HYPERLINK("https://www.britishcycling.org.uk/points?person_id=1132082&amp;year=2024&amp;type=national&amp;d=6","Results")</f>
        <v/>
      </c>
    </row>
    <row r="139">
      <c r="A139" t="inlineStr">
        <is>
          <t>138</t>
        </is>
      </c>
      <c r="B139" t="inlineStr">
        <is>
          <t>Tom Oxley</t>
        </is>
      </c>
      <c r="C139" t="inlineStr">
        <is>
          <t>Wolverhampton Wheelers</t>
        </is>
      </c>
      <c r="D139" t="inlineStr">
        <is>
          <t>69</t>
        </is>
      </c>
      <c r="E139" s="2">
        <f>HYPERLINK("https://www.britishcycling.org.uk/points?person_id=910505&amp;year=2024&amp;type=national&amp;d=6","Results")</f>
        <v/>
      </c>
    </row>
    <row r="140">
      <c r="A140" t="inlineStr">
        <is>
          <t>139</t>
        </is>
      </c>
      <c r="B140" t="inlineStr">
        <is>
          <t>Sammy Baker</t>
        </is>
      </c>
      <c r="C140" t="inlineStr">
        <is>
          <t>Palmer Park Velo RT</t>
        </is>
      </c>
      <c r="D140" t="inlineStr">
        <is>
          <t>68</t>
        </is>
      </c>
      <c r="E140" s="2">
        <f>HYPERLINK("https://www.britishcycling.org.uk/points?person_id=631992&amp;year=2024&amp;type=national&amp;d=6","Results")</f>
        <v/>
      </c>
    </row>
    <row r="141">
      <c r="A141" t="inlineStr">
        <is>
          <t>140</t>
        </is>
      </c>
      <c r="B141" t="inlineStr">
        <is>
          <t>Ben Fiennes</t>
        </is>
      </c>
      <c r="C141" t="inlineStr">
        <is>
          <t>Didcot Phoenix CC</t>
        </is>
      </c>
      <c r="D141" t="inlineStr">
        <is>
          <t>68</t>
        </is>
      </c>
      <c r="E141" s="2">
        <f>HYPERLINK("https://www.britishcycling.org.uk/points?person_id=1157214&amp;year=2024&amp;type=national&amp;d=6","Results")</f>
        <v/>
      </c>
    </row>
    <row r="142">
      <c r="A142" t="inlineStr">
        <is>
          <t>141</t>
        </is>
      </c>
      <c r="B142" t="inlineStr">
        <is>
          <t>Charlie Priest</t>
        </is>
      </c>
      <c r="C142" t="inlineStr">
        <is>
          <t>Clancy Briggs Cycling Academy</t>
        </is>
      </c>
      <c r="D142" t="inlineStr">
        <is>
          <t>68</t>
        </is>
      </c>
      <c r="E142" s="2">
        <f>HYPERLINK("https://www.britishcycling.org.uk/points?person_id=830335&amp;year=2024&amp;type=national&amp;d=6","Results")</f>
        <v/>
      </c>
    </row>
    <row r="143">
      <c r="A143" t="inlineStr">
        <is>
          <t>142</t>
        </is>
      </c>
      <c r="B143" t="inlineStr">
        <is>
          <t>Johnny Darling</t>
        </is>
      </c>
      <c r="C143" t="inlineStr">
        <is>
          <t>West Lothian Clarion CC</t>
        </is>
      </c>
      <c r="D143" t="inlineStr">
        <is>
          <t>66</t>
        </is>
      </c>
      <c r="E143" s="2">
        <f>HYPERLINK("https://www.britishcycling.org.uk/points?person_id=654830&amp;year=2024&amp;type=national&amp;d=6","Results")</f>
        <v/>
      </c>
    </row>
    <row r="144">
      <c r="A144" t="inlineStr">
        <is>
          <t>143</t>
        </is>
      </c>
      <c r="B144" t="inlineStr">
        <is>
          <t>Luke Kinch</t>
        </is>
      </c>
      <c r="C144" t="inlineStr">
        <is>
          <t>Bourne Whls CC</t>
        </is>
      </c>
      <c r="D144" t="inlineStr">
        <is>
          <t>66</t>
        </is>
      </c>
      <c r="E144" s="2">
        <f>HYPERLINK("https://www.britishcycling.org.uk/points?person_id=1161008&amp;year=2024&amp;type=national&amp;d=6","Results")</f>
        <v/>
      </c>
    </row>
    <row r="145">
      <c r="A145" t="inlineStr">
        <is>
          <t>144</t>
        </is>
      </c>
      <c r="B145" t="inlineStr">
        <is>
          <t>Jack Arundel</t>
        </is>
      </c>
      <c r="C145" t="inlineStr"/>
      <c r="D145" t="inlineStr">
        <is>
          <t>65</t>
        </is>
      </c>
      <c r="E145" s="2">
        <f>HYPERLINK("https://www.britishcycling.org.uk/points?person_id=1150453&amp;year=2024&amp;type=national&amp;d=6","Results")</f>
        <v/>
      </c>
    </row>
    <row r="146">
      <c r="A146" t="inlineStr">
        <is>
          <t>145</t>
        </is>
      </c>
      <c r="B146" t="inlineStr">
        <is>
          <t>Lee McQueen</t>
        </is>
      </c>
      <c r="C146" t="inlineStr">
        <is>
          <t>Falkirk Bicycle Club</t>
        </is>
      </c>
      <c r="D146" t="inlineStr">
        <is>
          <t>65</t>
        </is>
      </c>
      <c r="E146" s="2">
        <f>HYPERLINK("https://www.britishcycling.org.uk/points?person_id=1132885&amp;year=2024&amp;type=national&amp;d=6","Results")</f>
        <v/>
      </c>
    </row>
    <row r="147">
      <c r="A147" t="inlineStr">
        <is>
          <t>146</t>
        </is>
      </c>
      <c r="B147" t="inlineStr">
        <is>
          <t>Joseph Taylor</t>
        </is>
      </c>
      <c r="C147" t="inlineStr">
        <is>
          <t>Derby Mercury RC</t>
        </is>
      </c>
      <c r="D147" t="inlineStr">
        <is>
          <t>65</t>
        </is>
      </c>
      <c r="E147" s="2">
        <f>HYPERLINK("https://www.britishcycling.org.uk/points?person_id=838959&amp;year=2024&amp;type=national&amp;d=6","Results")</f>
        <v/>
      </c>
    </row>
    <row r="148">
      <c r="A148" t="inlineStr">
        <is>
          <t>147</t>
        </is>
      </c>
      <c r="B148" t="inlineStr">
        <is>
          <t>Ross Cherruault</t>
        </is>
      </c>
      <c r="C148" t="inlineStr">
        <is>
          <t>Avid Sport</t>
        </is>
      </c>
      <c r="D148" t="inlineStr">
        <is>
          <t>62</t>
        </is>
      </c>
      <c r="E148" s="2">
        <f>HYPERLINK("https://www.britishcycling.org.uk/points?person_id=673055&amp;year=2024&amp;type=national&amp;d=6","Results")</f>
        <v/>
      </c>
    </row>
    <row r="149">
      <c r="A149" t="inlineStr">
        <is>
          <t>148</t>
        </is>
      </c>
      <c r="B149" t="inlineStr">
        <is>
          <t>Jake Stubbs</t>
        </is>
      </c>
      <c r="C149" t="inlineStr">
        <is>
          <t>Team Milton Keynes</t>
        </is>
      </c>
      <c r="D149" t="inlineStr">
        <is>
          <t>62</t>
        </is>
      </c>
      <c r="E149" s="2">
        <f>HYPERLINK("https://www.britishcycling.org.uk/points?person_id=1160632&amp;year=2024&amp;type=national&amp;d=6","Results")</f>
        <v/>
      </c>
    </row>
    <row r="150">
      <c r="A150" t="inlineStr">
        <is>
          <t>149</t>
        </is>
      </c>
      <c r="B150" t="inlineStr">
        <is>
          <t>Jacob Wilson</t>
        </is>
      </c>
      <c r="C150" t="inlineStr">
        <is>
          <t>Hetton Hawks Cycling Club</t>
        </is>
      </c>
      <c r="D150" t="inlineStr">
        <is>
          <t>61</t>
        </is>
      </c>
      <c r="E150" s="2">
        <f>HYPERLINK("https://www.britishcycling.org.uk/points?person_id=854847&amp;year=2024&amp;type=national&amp;d=6","Results")</f>
        <v/>
      </c>
    </row>
    <row r="151">
      <c r="A151" t="inlineStr">
        <is>
          <t>150</t>
        </is>
      </c>
      <c r="B151" t="inlineStr">
        <is>
          <t>Oliver Stenhouse</t>
        </is>
      </c>
      <c r="C151" t="inlineStr"/>
      <c r="D151" t="inlineStr">
        <is>
          <t>60</t>
        </is>
      </c>
      <c r="E151" s="2">
        <f>HYPERLINK("https://www.britishcycling.org.uk/points?person_id=672843&amp;year=2024&amp;type=national&amp;d=6","Results")</f>
        <v/>
      </c>
    </row>
    <row r="152">
      <c r="A152" t="inlineStr">
        <is>
          <t>151</t>
        </is>
      </c>
      <c r="B152" t="inlineStr">
        <is>
          <t>Harley Walker</t>
        </is>
      </c>
      <c r="C152" t="inlineStr">
        <is>
          <t>WestSide Coaching, 73 Degrees</t>
        </is>
      </c>
      <c r="D152" t="inlineStr">
        <is>
          <t>60</t>
        </is>
      </c>
      <c r="E152" s="2">
        <f>HYPERLINK("https://www.britishcycling.org.uk/points?person_id=1085621&amp;year=2024&amp;type=national&amp;d=6","Results")</f>
        <v/>
      </c>
    </row>
    <row r="153">
      <c r="A153" t="inlineStr">
        <is>
          <t>152</t>
        </is>
      </c>
      <c r="B153" t="inlineStr">
        <is>
          <t>Sebastian Clare</t>
        </is>
      </c>
      <c r="C153" t="inlineStr">
        <is>
          <t>Rhyl Cycling Club</t>
        </is>
      </c>
      <c r="D153" t="inlineStr">
        <is>
          <t>59</t>
        </is>
      </c>
      <c r="E153" s="2">
        <f>HYPERLINK("https://www.britishcycling.org.uk/points?person_id=773725&amp;year=2024&amp;type=national&amp;d=6","Results")</f>
        <v/>
      </c>
    </row>
    <row r="154">
      <c r="A154" t="inlineStr">
        <is>
          <t>153</t>
        </is>
      </c>
      <c r="B154" t="inlineStr">
        <is>
          <t>Louis Inman</t>
        </is>
      </c>
      <c r="C154" t="inlineStr">
        <is>
          <t>Ilkeston Cycle Club</t>
        </is>
      </c>
      <c r="D154" t="inlineStr">
        <is>
          <t>59</t>
        </is>
      </c>
      <c r="E154" s="2">
        <f>HYPERLINK("https://www.britishcycling.org.uk/points?person_id=454912&amp;year=2024&amp;type=national&amp;d=6","Results")</f>
        <v/>
      </c>
    </row>
    <row r="155">
      <c r="A155" t="inlineStr">
        <is>
          <t>154</t>
        </is>
      </c>
      <c r="B155" t="inlineStr">
        <is>
          <t>Matt Baker</t>
        </is>
      </c>
      <c r="C155" t="inlineStr">
        <is>
          <t>Hetton Hawks Cycling Club</t>
        </is>
      </c>
      <c r="D155" t="inlineStr">
        <is>
          <t>58</t>
        </is>
      </c>
      <c r="E155" s="2">
        <f>HYPERLINK("https://www.britishcycling.org.uk/points?person_id=750418&amp;year=2024&amp;type=national&amp;d=6","Results")</f>
        <v/>
      </c>
    </row>
    <row r="156">
      <c r="A156" t="inlineStr">
        <is>
          <t>155</t>
        </is>
      </c>
      <c r="B156" t="inlineStr">
        <is>
          <t>Elliot Fisk</t>
        </is>
      </c>
      <c r="C156" t="inlineStr">
        <is>
          <t>Colchester Rovers CC</t>
        </is>
      </c>
      <c r="D156" t="inlineStr">
        <is>
          <t>58</t>
        </is>
      </c>
      <c r="E156" s="2">
        <f>HYPERLINK("https://www.britishcycling.org.uk/points?person_id=845863&amp;year=2024&amp;type=national&amp;d=6","Results")</f>
        <v/>
      </c>
    </row>
    <row r="157">
      <c r="A157" t="inlineStr">
        <is>
          <t>156</t>
        </is>
      </c>
      <c r="B157" t="inlineStr">
        <is>
          <t>Lucas Burdon</t>
        </is>
      </c>
      <c r="C157" t="inlineStr">
        <is>
          <t>Southborough &amp; District Whls</t>
        </is>
      </c>
      <c r="D157" t="inlineStr">
        <is>
          <t>56</t>
        </is>
      </c>
      <c r="E157" s="2">
        <f>HYPERLINK("https://www.britishcycling.org.uk/points?person_id=1029212&amp;year=2024&amp;type=national&amp;d=6","Results")</f>
        <v/>
      </c>
    </row>
    <row r="158">
      <c r="A158" t="inlineStr">
        <is>
          <t>157</t>
        </is>
      </c>
      <c r="B158" t="inlineStr">
        <is>
          <t>Henry Sharp</t>
        </is>
      </c>
      <c r="C158" t="inlineStr">
        <is>
          <t>West Lothian Clarion CC</t>
        </is>
      </c>
      <c r="D158" t="inlineStr">
        <is>
          <t>55</t>
        </is>
      </c>
      <c r="E158" s="2">
        <f>HYPERLINK("https://www.britishcycling.org.uk/points?person_id=1048988&amp;year=2024&amp;type=national&amp;d=6","Results")</f>
        <v/>
      </c>
    </row>
    <row r="159">
      <c r="A159" t="inlineStr">
        <is>
          <t>158</t>
        </is>
      </c>
      <c r="B159" t="inlineStr">
        <is>
          <t>James Earl</t>
        </is>
      </c>
      <c r="C159" t="inlineStr">
        <is>
          <t>Hillingdon Slipstreamers</t>
        </is>
      </c>
      <c r="D159" t="inlineStr">
        <is>
          <t>54</t>
        </is>
      </c>
      <c r="E159" s="2">
        <f>HYPERLINK("https://www.britishcycling.org.uk/points?person_id=899559&amp;year=2024&amp;type=national&amp;d=6","Results")</f>
        <v/>
      </c>
    </row>
    <row r="160">
      <c r="A160" t="inlineStr">
        <is>
          <t>159</t>
        </is>
      </c>
      <c r="B160" t="inlineStr">
        <is>
          <t>Harrison Hendy</t>
        </is>
      </c>
      <c r="C160" t="inlineStr">
        <is>
          <t>Team HUP</t>
        </is>
      </c>
      <c r="D160" t="inlineStr">
        <is>
          <t>54</t>
        </is>
      </c>
      <c r="E160" s="2">
        <f>HYPERLINK("https://www.britishcycling.org.uk/points?person_id=537409&amp;year=2024&amp;type=national&amp;d=6","Results")</f>
        <v/>
      </c>
    </row>
    <row r="161">
      <c r="A161" t="inlineStr">
        <is>
          <t>160</t>
        </is>
      </c>
      <c r="B161" t="inlineStr">
        <is>
          <t>Joshua Maguire</t>
        </is>
      </c>
      <c r="C161" t="inlineStr">
        <is>
          <t>Taunton Bike Club</t>
        </is>
      </c>
      <c r="D161" t="inlineStr">
        <is>
          <t>54</t>
        </is>
      </c>
      <c r="E161" s="2">
        <f>HYPERLINK("https://www.britishcycling.org.uk/points?person_id=923800&amp;year=2024&amp;type=national&amp;d=6","Results")</f>
        <v/>
      </c>
    </row>
    <row r="162">
      <c r="A162" t="inlineStr">
        <is>
          <t>161</t>
        </is>
      </c>
      <c r="B162" t="inlineStr">
        <is>
          <t>Joshua Lovatt</t>
        </is>
      </c>
      <c r="C162" t="inlineStr">
        <is>
          <t>Cycle Club Ashwell (CCA)</t>
        </is>
      </c>
      <c r="D162" t="inlineStr">
        <is>
          <t>52</t>
        </is>
      </c>
      <c r="E162" s="2">
        <f>HYPERLINK("https://www.britishcycling.org.uk/points?person_id=1002627&amp;year=2024&amp;type=national&amp;d=6","Results")</f>
        <v/>
      </c>
    </row>
    <row r="163">
      <c r="A163" t="inlineStr">
        <is>
          <t>162</t>
        </is>
      </c>
      <c r="B163" t="inlineStr">
        <is>
          <t>Omar Wilson</t>
        </is>
      </c>
      <c r="C163" t="inlineStr">
        <is>
          <t>Mid Devon CC</t>
        </is>
      </c>
      <c r="D163" t="inlineStr">
        <is>
          <t>50</t>
        </is>
      </c>
      <c r="E163" s="2">
        <f>HYPERLINK("https://www.britishcycling.org.uk/points?person_id=984089&amp;year=2024&amp;type=national&amp;d=6","Results")</f>
        <v/>
      </c>
    </row>
    <row r="164">
      <c r="A164" t="inlineStr">
        <is>
          <t>163</t>
        </is>
      </c>
      <c r="B164" t="inlineStr">
        <is>
          <t>Jake Bird</t>
        </is>
      </c>
      <c r="C164" t="inlineStr">
        <is>
          <t>Beeston Cycling Club</t>
        </is>
      </c>
      <c r="D164" t="inlineStr">
        <is>
          <t>48</t>
        </is>
      </c>
      <c r="E164" s="2">
        <f>HYPERLINK("https://www.britishcycling.org.uk/points?person_id=551429&amp;year=2024&amp;type=national&amp;d=6","Results")</f>
        <v/>
      </c>
    </row>
    <row r="165">
      <c r="A165" t="inlineStr">
        <is>
          <t>164</t>
        </is>
      </c>
      <c r="B165" t="inlineStr">
        <is>
          <t>Adam Koperdan</t>
        </is>
      </c>
      <c r="C165" t="inlineStr">
        <is>
          <t>Sotonia CC</t>
        </is>
      </c>
      <c r="D165" t="inlineStr">
        <is>
          <t>47</t>
        </is>
      </c>
      <c r="E165" s="2">
        <f>HYPERLINK("https://www.britishcycling.org.uk/points?person_id=1094384&amp;year=2024&amp;type=national&amp;d=6","Results")</f>
        <v/>
      </c>
    </row>
    <row r="166">
      <c r="A166" t="inlineStr">
        <is>
          <t>165</t>
        </is>
      </c>
      <c r="B166" t="inlineStr">
        <is>
          <t>Henry Tutt</t>
        </is>
      </c>
      <c r="C166" t="inlineStr">
        <is>
          <t>Southborough &amp; District Whls</t>
        </is>
      </c>
      <c r="D166" t="inlineStr">
        <is>
          <t>47</t>
        </is>
      </c>
      <c r="E166" s="2">
        <f>HYPERLINK("https://www.britishcycling.org.uk/points?person_id=1133130&amp;year=2024&amp;type=national&amp;d=6","Results")</f>
        <v/>
      </c>
    </row>
    <row r="167">
      <c r="A167" t="inlineStr">
        <is>
          <t>166</t>
        </is>
      </c>
      <c r="B167" t="inlineStr">
        <is>
          <t>Zander Wilson</t>
        </is>
      </c>
      <c r="C167" t="inlineStr">
        <is>
          <t>Team Tor 2000 Kalas</t>
        </is>
      </c>
      <c r="D167" t="inlineStr">
        <is>
          <t>47</t>
        </is>
      </c>
      <c r="E167" s="2">
        <f>HYPERLINK("https://www.britishcycling.org.uk/points?person_id=1133093&amp;year=2024&amp;type=national&amp;d=6","Results")</f>
        <v/>
      </c>
    </row>
    <row r="168">
      <c r="A168" t="inlineStr">
        <is>
          <t>167</t>
        </is>
      </c>
      <c r="B168" t="inlineStr">
        <is>
          <t>Henry Palmer</t>
        </is>
      </c>
      <c r="C168" t="inlineStr">
        <is>
          <t>Inspire Racing Adaston Scape</t>
        </is>
      </c>
      <c r="D168" t="inlineStr">
        <is>
          <t>46</t>
        </is>
      </c>
      <c r="E168" s="2">
        <f>HYPERLINK("https://www.britishcycling.org.uk/points?person_id=949062&amp;year=2024&amp;type=national&amp;d=6","Results")</f>
        <v/>
      </c>
    </row>
    <row r="169">
      <c r="A169" t="inlineStr">
        <is>
          <t>168</t>
        </is>
      </c>
      <c r="B169" t="inlineStr">
        <is>
          <t>Seb Riggott</t>
        </is>
      </c>
      <c r="C169" t="inlineStr">
        <is>
          <t>Nottingham Clarion CC</t>
        </is>
      </c>
      <c r="D169" t="inlineStr">
        <is>
          <t>46</t>
        </is>
      </c>
      <c r="E169" s="2">
        <f>HYPERLINK("https://www.britishcycling.org.uk/points?person_id=1033970&amp;year=2024&amp;type=national&amp;d=6","Results")</f>
        <v/>
      </c>
    </row>
    <row r="170">
      <c r="A170" t="inlineStr">
        <is>
          <t>169</t>
        </is>
      </c>
      <c r="B170" t="inlineStr">
        <is>
          <t>Pasco Reynolds</t>
        </is>
      </c>
      <c r="C170" t="inlineStr">
        <is>
          <t>Matlock CC</t>
        </is>
      </c>
      <c r="D170" t="inlineStr">
        <is>
          <t>45</t>
        </is>
      </c>
      <c r="E170" s="2">
        <f>HYPERLINK("https://www.britishcycling.org.uk/points?person_id=630957&amp;year=2024&amp;type=national&amp;d=6","Results")</f>
        <v/>
      </c>
    </row>
    <row r="171">
      <c r="A171" t="inlineStr">
        <is>
          <t>170</t>
        </is>
      </c>
      <c r="B171" t="inlineStr">
        <is>
          <t>Will Nelson</t>
        </is>
      </c>
      <c r="C171" t="inlineStr">
        <is>
          <t>Tyneside Vagabonds CC</t>
        </is>
      </c>
      <c r="D171" t="inlineStr">
        <is>
          <t>44</t>
        </is>
      </c>
      <c r="E171" s="2">
        <f>HYPERLINK("https://www.britishcycling.org.uk/points?person_id=1136270&amp;year=2024&amp;type=national&amp;d=6","Results")</f>
        <v/>
      </c>
    </row>
    <row r="172">
      <c r="A172" t="inlineStr">
        <is>
          <t>171</t>
        </is>
      </c>
      <c r="B172" t="inlineStr">
        <is>
          <t>Cillian Sweeney</t>
        </is>
      </c>
      <c r="C172" t="inlineStr">
        <is>
          <t>Discovery Junior Cycling Club</t>
        </is>
      </c>
      <c r="D172" t="inlineStr">
        <is>
          <t>44</t>
        </is>
      </c>
      <c r="E172" s="2">
        <f>HYPERLINK("https://www.britishcycling.org.uk/points?person_id=1086027&amp;year=2024&amp;type=national&amp;d=6","Results")</f>
        <v/>
      </c>
    </row>
    <row r="173">
      <c r="A173" t="inlineStr">
        <is>
          <t>172</t>
        </is>
      </c>
      <c r="B173" t="inlineStr">
        <is>
          <t>George Hughes</t>
        </is>
      </c>
      <c r="C173" t="inlineStr">
        <is>
          <t>Shibden Cycling Club</t>
        </is>
      </c>
      <c r="D173" t="inlineStr">
        <is>
          <t>41</t>
        </is>
      </c>
      <c r="E173" s="2">
        <f>HYPERLINK("https://www.britishcycling.org.uk/points?person_id=552145&amp;year=2024&amp;type=national&amp;d=6","Results")</f>
        <v/>
      </c>
    </row>
    <row r="174">
      <c r="A174" t="inlineStr">
        <is>
          <t>173</t>
        </is>
      </c>
      <c r="B174" t="inlineStr">
        <is>
          <t>Patrick Kavanagh</t>
        </is>
      </c>
      <c r="C174" t="inlineStr">
        <is>
          <t>Harrogate Nova CC</t>
        </is>
      </c>
      <c r="D174" t="inlineStr">
        <is>
          <t>40</t>
        </is>
      </c>
      <c r="E174" s="2">
        <f>HYPERLINK("https://www.britishcycling.org.uk/points?person_id=1143604&amp;year=2024&amp;type=national&amp;d=6","Results")</f>
        <v/>
      </c>
    </row>
    <row r="175">
      <c r="A175" t="inlineStr">
        <is>
          <t>174</t>
        </is>
      </c>
      <c r="B175" t="inlineStr">
        <is>
          <t>Yousef Hardaker</t>
        </is>
      </c>
      <c r="C175" t="inlineStr">
        <is>
          <t>Inspire Racing Adaston Scape</t>
        </is>
      </c>
      <c r="D175" t="inlineStr">
        <is>
          <t>37</t>
        </is>
      </c>
      <c r="E175" s="2">
        <f>HYPERLINK("https://www.britishcycling.org.uk/points?person_id=1050450&amp;year=2024&amp;type=national&amp;d=6","Results")</f>
        <v/>
      </c>
    </row>
    <row r="176">
      <c r="A176" t="inlineStr">
        <is>
          <t>175</t>
        </is>
      </c>
      <c r="B176" t="inlineStr">
        <is>
          <t>Eliseo La Monaca</t>
        </is>
      </c>
      <c r="C176" t="inlineStr">
        <is>
          <t>Solent Pirates</t>
        </is>
      </c>
      <c r="D176" t="inlineStr">
        <is>
          <t>37</t>
        </is>
      </c>
      <c r="E176" s="2">
        <f>HYPERLINK("https://www.britishcycling.org.uk/points?person_id=1134142&amp;year=2024&amp;type=national&amp;d=6","Results")</f>
        <v/>
      </c>
    </row>
    <row r="177">
      <c r="A177" t="inlineStr">
        <is>
          <t>176</t>
        </is>
      </c>
      <c r="B177" t="inlineStr">
        <is>
          <t>Archie Harvey</t>
        </is>
      </c>
      <c r="C177" t="inlineStr">
        <is>
          <t>Maindy Flyers CC</t>
        </is>
      </c>
      <c r="D177" t="inlineStr">
        <is>
          <t>36</t>
        </is>
      </c>
      <c r="E177" s="2">
        <f>HYPERLINK("https://www.britishcycling.org.uk/points?person_id=992495&amp;year=2024&amp;type=national&amp;d=6","Results")</f>
        <v/>
      </c>
    </row>
    <row r="178">
      <c r="A178" t="inlineStr">
        <is>
          <t>177</t>
        </is>
      </c>
      <c r="B178" t="inlineStr">
        <is>
          <t>Jowan Roberts</t>
        </is>
      </c>
      <c r="C178" t="inlineStr">
        <is>
          <t>Wheal Velocity</t>
        </is>
      </c>
      <c r="D178" t="inlineStr">
        <is>
          <t>36</t>
        </is>
      </c>
      <c r="E178" s="2">
        <f>HYPERLINK("https://www.britishcycling.org.uk/points?person_id=735356&amp;year=2024&amp;type=national&amp;d=6","Results")</f>
        <v/>
      </c>
    </row>
    <row r="179">
      <c r="A179" t="inlineStr">
        <is>
          <t>178</t>
        </is>
      </c>
      <c r="B179" t="inlineStr">
        <is>
          <t>Oliver Goodman</t>
        </is>
      </c>
      <c r="C179" t="inlineStr">
        <is>
          <t>Southborough &amp; District Whls</t>
        </is>
      </c>
      <c r="D179" t="inlineStr">
        <is>
          <t>34</t>
        </is>
      </c>
      <c r="E179" s="2">
        <f>HYPERLINK("https://www.britishcycling.org.uk/points?person_id=860908&amp;year=2024&amp;type=national&amp;d=6","Results")</f>
        <v/>
      </c>
    </row>
    <row r="180">
      <c r="A180" t="inlineStr">
        <is>
          <t>179</t>
        </is>
      </c>
      <c r="B180" t="inlineStr">
        <is>
          <t>Henry Barker</t>
        </is>
      </c>
      <c r="C180" t="inlineStr">
        <is>
          <t>Welwyn Wheelers CC</t>
        </is>
      </c>
      <c r="D180" t="inlineStr">
        <is>
          <t>32</t>
        </is>
      </c>
      <c r="E180" s="2">
        <f>HYPERLINK("https://www.britishcycling.org.uk/points?person_id=300083&amp;year=2024&amp;type=national&amp;d=6","Results")</f>
        <v/>
      </c>
    </row>
    <row r="181">
      <c r="A181" t="inlineStr">
        <is>
          <t>180</t>
        </is>
      </c>
      <c r="B181" t="inlineStr">
        <is>
          <t>Zach Jenkins</t>
        </is>
      </c>
      <c r="C181" t="inlineStr">
        <is>
          <t>Success Cycling</t>
        </is>
      </c>
      <c r="D181" t="inlineStr">
        <is>
          <t>32</t>
        </is>
      </c>
      <c r="E181" s="2">
        <f>HYPERLINK("https://www.britishcycling.org.uk/points?person_id=553769&amp;year=2024&amp;type=national&amp;d=6","Results")</f>
        <v/>
      </c>
    </row>
    <row r="182">
      <c r="A182" t="inlineStr">
        <is>
          <t>181</t>
        </is>
      </c>
      <c r="B182" t="inlineStr">
        <is>
          <t>Frederic Moorhouse-Smith</t>
        </is>
      </c>
      <c r="C182" t="inlineStr">
        <is>
          <t>Shibden Cycling Club</t>
        </is>
      </c>
      <c r="D182" t="inlineStr">
        <is>
          <t>32</t>
        </is>
      </c>
      <c r="E182" s="2">
        <f>HYPERLINK("https://www.britishcycling.org.uk/points?person_id=946694&amp;year=2024&amp;type=national&amp;d=6","Results")</f>
        <v/>
      </c>
    </row>
    <row r="183">
      <c r="A183" t="inlineStr">
        <is>
          <t>182</t>
        </is>
      </c>
      <c r="B183" t="inlineStr">
        <is>
          <t>Logan Anderson</t>
        </is>
      </c>
      <c r="C183" t="inlineStr">
        <is>
          <t>Ross-Shire RCC</t>
        </is>
      </c>
      <c r="D183" t="inlineStr">
        <is>
          <t>31</t>
        </is>
      </c>
      <c r="E183" s="2">
        <f>HYPERLINK("https://www.britishcycling.org.uk/points?person_id=1027310&amp;year=2024&amp;type=national&amp;d=6","Results")</f>
        <v/>
      </c>
    </row>
    <row r="184">
      <c r="A184" t="inlineStr">
        <is>
          <t>183</t>
        </is>
      </c>
      <c r="B184" t="inlineStr">
        <is>
          <t>Rubens Allet</t>
        </is>
      </c>
      <c r="C184" t="inlineStr">
        <is>
          <t>Barking &amp; Dagenham CC</t>
        </is>
      </c>
      <c r="D184" t="inlineStr">
        <is>
          <t>30</t>
        </is>
      </c>
      <c r="E184" s="2">
        <f>HYPERLINK("https://www.britishcycling.org.uk/points?person_id=1011990&amp;year=2024&amp;type=national&amp;d=6","Results")</f>
        <v/>
      </c>
    </row>
    <row r="185">
      <c r="A185" t="inlineStr">
        <is>
          <t>184</t>
        </is>
      </c>
      <c r="B185" t="inlineStr">
        <is>
          <t>Onitha Dharmarathna</t>
        </is>
      </c>
      <c r="C185" t="inlineStr">
        <is>
          <t>Towy Riders</t>
        </is>
      </c>
      <c r="D185" t="inlineStr">
        <is>
          <t>28</t>
        </is>
      </c>
      <c r="E185" s="2">
        <f>HYPERLINK("https://www.britishcycling.org.uk/points?person_id=1152971&amp;year=2024&amp;type=national&amp;d=6","Results")</f>
        <v/>
      </c>
    </row>
    <row r="186">
      <c r="A186" t="inlineStr">
        <is>
          <t>185</t>
        </is>
      </c>
      <c r="B186" t="inlineStr">
        <is>
          <t>Leo Hughes</t>
        </is>
      </c>
      <c r="C186" t="inlineStr">
        <is>
          <t>Southborough &amp; District Whls</t>
        </is>
      </c>
      <c r="D186" t="inlineStr">
        <is>
          <t>28</t>
        </is>
      </c>
      <c r="E186" s="2">
        <f>HYPERLINK("https://www.britishcycling.org.uk/points?person_id=1010187&amp;year=2024&amp;type=national&amp;d=6","Results")</f>
        <v/>
      </c>
    </row>
    <row r="187">
      <c r="A187" t="inlineStr">
        <is>
          <t>186</t>
        </is>
      </c>
      <c r="B187" t="inlineStr">
        <is>
          <t>Joshua Jones</t>
        </is>
      </c>
      <c r="C187" t="inlineStr">
        <is>
          <t>Leicester Forest CC</t>
        </is>
      </c>
      <c r="D187" t="inlineStr">
        <is>
          <t>27</t>
        </is>
      </c>
      <c r="E187" s="2">
        <f>HYPERLINK("https://www.britishcycling.org.uk/points?person_id=885589&amp;year=2024&amp;type=national&amp;d=6","Results")</f>
        <v/>
      </c>
    </row>
    <row r="188">
      <c r="A188" t="inlineStr">
        <is>
          <t>187</t>
        </is>
      </c>
      <c r="B188" t="inlineStr">
        <is>
          <t>Ben Alliston</t>
        </is>
      </c>
      <c r="C188" t="inlineStr">
        <is>
          <t>Fenland Clarion CC</t>
        </is>
      </c>
      <c r="D188" t="inlineStr">
        <is>
          <t>26</t>
        </is>
      </c>
      <c r="E188" s="2">
        <f>HYPERLINK("https://www.britishcycling.org.uk/points?person_id=1086570&amp;year=2024&amp;type=national&amp;d=6","Results")</f>
        <v/>
      </c>
    </row>
    <row r="189">
      <c r="A189" t="inlineStr">
        <is>
          <t>188</t>
        </is>
      </c>
      <c r="B189" t="inlineStr">
        <is>
          <t>George Collins</t>
        </is>
      </c>
      <c r="C189" t="inlineStr">
        <is>
          <t>Schils -  Doltcini Racing Team</t>
        </is>
      </c>
      <c r="D189" t="inlineStr">
        <is>
          <t>26</t>
        </is>
      </c>
      <c r="E189" s="2">
        <f>HYPERLINK("https://www.britishcycling.org.uk/points?person_id=589527&amp;year=2024&amp;type=national&amp;d=6","Results")</f>
        <v/>
      </c>
    </row>
    <row r="190">
      <c r="A190" t="inlineStr">
        <is>
          <t>189</t>
        </is>
      </c>
      <c r="B190" t="inlineStr">
        <is>
          <t>Jake Davidson</t>
        </is>
      </c>
      <c r="C190" t="inlineStr">
        <is>
          <t>Manilla Cycling</t>
        </is>
      </c>
      <c r="D190" t="inlineStr">
        <is>
          <t>26</t>
        </is>
      </c>
      <c r="E190" s="2">
        <f>HYPERLINK("https://www.britishcycling.org.uk/points?person_id=823082&amp;year=2024&amp;type=national&amp;d=6","Results")</f>
        <v/>
      </c>
    </row>
    <row r="191">
      <c r="A191" t="inlineStr">
        <is>
          <t>190</t>
        </is>
      </c>
      <c r="B191" t="inlineStr">
        <is>
          <t>Aleksander Goscomb</t>
        </is>
      </c>
      <c r="C191" t="inlineStr">
        <is>
          <t>Southborough &amp; District Whls</t>
        </is>
      </c>
      <c r="D191" t="inlineStr">
        <is>
          <t>26</t>
        </is>
      </c>
      <c r="E191" s="2">
        <f>HYPERLINK("https://www.britishcycling.org.uk/points?person_id=1156439&amp;year=2024&amp;type=national&amp;d=6","Results")</f>
        <v/>
      </c>
    </row>
    <row r="192">
      <c r="A192" t="inlineStr">
        <is>
          <t>191</t>
        </is>
      </c>
      <c r="B192" t="inlineStr">
        <is>
          <t>Thomas Harvey</t>
        </is>
      </c>
      <c r="C192" t="inlineStr">
        <is>
          <t>North Cotswold CC</t>
        </is>
      </c>
      <c r="D192" t="inlineStr">
        <is>
          <t>26</t>
        </is>
      </c>
      <c r="E192" s="2">
        <f>HYPERLINK("https://www.britishcycling.org.uk/points?person_id=1080579&amp;year=2024&amp;type=national&amp;d=6","Results")</f>
        <v/>
      </c>
    </row>
    <row r="193">
      <c r="A193" t="inlineStr">
        <is>
          <t>192</t>
        </is>
      </c>
      <c r="B193" t="inlineStr">
        <is>
          <t>Lucien Jacquemet-Ross</t>
        </is>
      </c>
      <c r="C193" t="inlineStr">
        <is>
          <t>West Lothian Clarion CC</t>
        </is>
      </c>
      <c r="D193" t="inlineStr">
        <is>
          <t>26</t>
        </is>
      </c>
      <c r="E193" s="2">
        <f>HYPERLINK("https://www.britishcycling.org.uk/points?person_id=1087298&amp;year=2024&amp;type=national&amp;d=6","Results")</f>
        <v/>
      </c>
    </row>
    <row r="194">
      <c r="A194" t="inlineStr">
        <is>
          <t>193</t>
        </is>
      </c>
      <c r="B194" t="inlineStr">
        <is>
          <t>Tyler Six</t>
        </is>
      </c>
      <c r="C194" t="inlineStr">
        <is>
          <t>Saxun-Extrusax-Primoti</t>
        </is>
      </c>
      <c r="D194" t="inlineStr">
        <is>
          <t>26</t>
        </is>
      </c>
      <c r="E194" s="2">
        <f>HYPERLINK("https://www.britishcycling.org.uk/points?person_id=1084048&amp;year=2024&amp;type=national&amp;d=6","Results")</f>
        <v/>
      </c>
    </row>
    <row r="195">
      <c r="A195" t="inlineStr">
        <is>
          <t>194</t>
        </is>
      </c>
      <c r="B195" t="inlineStr">
        <is>
          <t>Jonathan Harju</t>
        </is>
      </c>
      <c r="C195" t="inlineStr">
        <is>
          <t>Hillingdon Slipstreamers</t>
        </is>
      </c>
      <c r="D195" t="inlineStr">
        <is>
          <t>25</t>
        </is>
      </c>
      <c r="E195" s="2">
        <f>HYPERLINK("https://www.britishcycling.org.uk/points?person_id=1140680&amp;year=2024&amp;type=national&amp;d=6","Results")</f>
        <v/>
      </c>
    </row>
    <row r="196">
      <c r="A196" t="inlineStr">
        <is>
          <t>195</t>
        </is>
      </c>
      <c r="B196" t="inlineStr">
        <is>
          <t>Joshua Hall</t>
        </is>
      </c>
      <c r="C196" t="inlineStr">
        <is>
          <t>Team Milton Keynes</t>
        </is>
      </c>
      <c r="D196" t="inlineStr">
        <is>
          <t>24</t>
        </is>
      </c>
      <c r="E196" s="2">
        <f>HYPERLINK("https://www.britishcycling.org.uk/points?person_id=821258&amp;year=2024&amp;type=national&amp;d=6","Results")</f>
        <v/>
      </c>
    </row>
    <row r="197">
      <c r="A197" t="inlineStr">
        <is>
          <t>196</t>
        </is>
      </c>
      <c r="B197" t="inlineStr">
        <is>
          <t>Bayley Woodger</t>
        </is>
      </c>
      <c r="C197" t="inlineStr">
        <is>
          <t>Mid Devon CC</t>
        </is>
      </c>
      <c r="D197" t="inlineStr">
        <is>
          <t>24</t>
        </is>
      </c>
      <c r="E197" s="2">
        <f>HYPERLINK("https://www.britishcycling.org.uk/points?person_id=570896&amp;year=2024&amp;type=national&amp;d=6","Results")</f>
        <v/>
      </c>
    </row>
    <row r="198">
      <c r="A198" t="inlineStr">
        <is>
          <t>197</t>
        </is>
      </c>
      <c r="B198" t="inlineStr">
        <is>
          <t>Felix Boyle</t>
        </is>
      </c>
      <c r="C198" t="inlineStr">
        <is>
          <t>Preston Park Youth CC (PPYCC)</t>
        </is>
      </c>
      <c r="D198" t="inlineStr">
        <is>
          <t>23</t>
        </is>
      </c>
      <c r="E198" s="2">
        <f>HYPERLINK("https://www.britishcycling.org.uk/points?person_id=794221&amp;year=2024&amp;type=national&amp;d=6","Results")</f>
        <v/>
      </c>
    </row>
    <row r="199">
      <c r="A199" t="inlineStr">
        <is>
          <t>198</t>
        </is>
      </c>
      <c r="B199" t="inlineStr">
        <is>
          <t>Lewis Anderson</t>
        </is>
      </c>
      <c r="C199" t="inlineStr">
        <is>
          <t>Manilla Cycling</t>
        </is>
      </c>
      <c r="D199" t="inlineStr">
        <is>
          <t>22</t>
        </is>
      </c>
      <c r="E199" s="2">
        <f>HYPERLINK("https://www.britishcycling.org.uk/points?person_id=683378&amp;year=2024&amp;type=national&amp;d=6","Results")</f>
        <v/>
      </c>
    </row>
    <row r="200">
      <c r="A200" t="inlineStr">
        <is>
          <t>199</t>
        </is>
      </c>
      <c r="B200" t="inlineStr">
        <is>
          <t>Milo De La Mare</t>
        </is>
      </c>
      <c r="C200" t="inlineStr">
        <is>
          <t>VC Londres</t>
        </is>
      </c>
      <c r="D200" t="inlineStr">
        <is>
          <t>20</t>
        </is>
      </c>
      <c r="E200" s="2">
        <f>HYPERLINK("https://www.britishcycling.org.uk/points?person_id=614000&amp;year=2024&amp;type=national&amp;d=6","Results")</f>
        <v/>
      </c>
    </row>
    <row r="201">
      <c r="A201" t="inlineStr">
        <is>
          <t>200</t>
        </is>
      </c>
      <c r="B201" t="inlineStr">
        <is>
          <t>Sam Farquhar</t>
        </is>
      </c>
      <c r="C201" t="inlineStr">
        <is>
          <t>Maindy Flyers CC</t>
        </is>
      </c>
      <c r="D201" t="inlineStr">
        <is>
          <t>20</t>
        </is>
      </c>
      <c r="E201" s="2">
        <f>HYPERLINK("https://www.britishcycling.org.uk/points?person_id=1122095&amp;year=2024&amp;type=national&amp;d=6","Results")</f>
        <v/>
      </c>
    </row>
    <row r="202">
      <c r="A202" t="inlineStr">
        <is>
          <t>201</t>
        </is>
      </c>
      <c r="B202" t="inlineStr">
        <is>
          <t>Lenz Haring</t>
        </is>
      </c>
      <c r="C202" t="inlineStr">
        <is>
          <t>Entente Cycliste Luxeuil Vosges Saônoises</t>
        </is>
      </c>
      <c r="D202" t="inlineStr">
        <is>
          <t>20</t>
        </is>
      </c>
      <c r="E202" s="2">
        <f>HYPERLINK("https://www.britishcycling.org.uk/points?person_id=621400&amp;year=2024&amp;type=national&amp;d=6","Results")</f>
        <v/>
      </c>
    </row>
    <row r="203">
      <c r="A203" t="inlineStr">
        <is>
          <t>202</t>
        </is>
      </c>
      <c r="B203" t="inlineStr">
        <is>
          <t>Lewis Higham</t>
        </is>
      </c>
      <c r="C203" t="inlineStr">
        <is>
          <t>Clifton CC</t>
        </is>
      </c>
      <c r="D203" t="inlineStr">
        <is>
          <t>20</t>
        </is>
      </c>
      <c r="E203" s="2">
        <f>HYPERLINK("https://www.britishcycling.org.uk/points?person_id=1069719&amp;year=2024&amp;type=national&amp;d=6","Results")</f>
        <v/>
      </c>
    </row>
    <row r="204">
      <c r="A204" t="inlineStr">
        <is>
          <t>203</t>
        </is>
      </c>
      <c r="B204" t="inlineStr">
        <is>
          <t>Stanley Russell</t>
        </is>
      </c>
      <c r="C204" t="inlineStr">
        <is>
          <t>Newark Castle CC</t>
        </is>
      </c>
      <c r="D204" t="inlineStr">
        <is>
          <t>20</t>
        </is>
      </c>
      <c r="E204" s="2">
        <f>HYPERLINK("https://www.britishcycling.org.uk/points?person_id=1027791&amp;year=2024&amp;type=national&amp;d=6","Results")</f>
        <v/>
      </c>
    </row>
    <row r="205">
      <c r="A205" t="inlineStr">
        <is>
          <t>204</t>
        </is>
      </c>
      <c r="B205" t="inlineStr">
        <is>
          <t>Eoin Medlyn</t>
        </is>
      </c>
      <c r="C205" t="inlineStr">
        <is>
          <t>Bigfoot Youth Cycle Club Ltd</t>
        </is>
      </c>
      <c r="D205" t="inlineStr">
        <is>
          <t>19</t>
        </is>
      </c>
      <c r="E205" s="2">
        <f>HYPERLINK("https://www.britishcycling.org.uk/points?person_id=653795&amp;year=2024&amp;type=national&amp;d=6","Results")</f>
        <v/>
      </c>
    </row>
    <row r="206">
      <c r="A206" t="inlineStr">
        <is>
          <t>205</t>
        </is>
      </c>
      <c r="B206" t="inlineStr">
        <is>
          <t>Stanley  Phillips</t>
        </is>
      </c>
      <c r="C206" t="inlineStr">
        <is>
          <t>Sotonia CC</t>
        </is>
      </c>
      <c r="D206" t="inlineStr">
        <is>
          <t>18</t>
        </is>
      </c>
      <c r="E206" s="2">
        <f>HYPERLINK("https://www.britishcycling.org.uk/points?person_id=774820&amp;year=2024&amp;type=national&amp;d=6","Results")</f>
        <v/>
      </c>
    </row>
    <row r="207">
      <c r="A207" t="inlineStr">
        <is>
          <t>206</t>
        </is>
      </c>
      <c r="B207" t="inlineStr">
        <is>
          <t>Evan Mitchell</t>
        </is>
      </c>
      <c r="C207" t="inlineStr">
        <is>
          <t>Solent Pirates</t>
        </is>
      </c>
      <c r="D207" t="inlineStr">
        <is>
          <t>17</t>
        </is>
      </c>
      <c r="E207" s="2">
        <f>HYPERLINK("https://www.britishcycling.org.uk/points?person_id=1072867&amp;year=2024&amp;type=national&amp;d=6","Results")</f>
        <v/>
      </c>
    </row>
    <row r="208">
      <c r="A208" t="inlineStr">
        <is>
          <t>207</t>
        </is>
      </c>
      <c r="B208" t="inlineStr">
        <is>
          <t>Fred Carr</t>
        </is>
      </c>
      <c r="C208" t="inlineStr">
        <is>
          <t>Tyneside Vagabonds CC</t>
        </is>
      </c>
      <c r="D208" t="inlineStr">
        <is>
          <t>16</t>
        </is>
      </c>
      <c r="E208" s="2">
        <f>HYPERLINK("https://www.britishcycling.org.uk/points?person_id=406409&amp;year=2024&amp;type=national&amp;d=6","Results")</f>
        <v/>
      </c>
    </row>
    <row r="209">
      <c r="A209" t="inlineStr">
        <is>
          <t>208</t>
        </is>
      </c>
      <c r="B209" t="inlineStr">
        <is>
          <t>Daniel Charton</t>
        </is>
      </c>
      <c r="C209" t="inlineStr">
        <is>
          <t>Solihull CC</t>
        </is>
      </c>
      <c r="D209" t="inlineStr">
        <is>
          <t>16</t>
        </is>
      </c>
      <c r="E209" s="2">
        <f>HYPERLINK("https://www.britishcycling.org.uk/points?person_id=768516&amp;year=2024&amp;type=national&amp;d=6","Results")</f>
        <v/>
      </c>
    </row>
    <row r="210">
      <c r="A210" t="inlineStr">
        <is>
          <t>209</t>
        </is>
      </c>
      <c r="B210" t="inlineStr">
        <is>
          <t>Noah Blythe</t>
        </is>
      </c>
      <c r="C210" t="inlineStr">
        <is>
          <t>Southborough &amp; District Whls</t>
        </is>
      </c>
      <c r="D210" t="inlineStr">
        <is>
          <t>15</t>
        </is>
      </c>
      <c r="E210" s="2">
        <f>HYPERLINK("https://www.britishcycling.org.uk/points?person_id=1132140&amp;year=2024&amp;type=national&amp;d=6","Results")</f>
        <v/>
      </c>
    </row>
    <row r="211">
      <c r="A211" t="inlineStr">
        <is>
          <t>210</t>
        </is>
      </c>
      <c r="B211" t="inlineStr">
        <is>
          <t>Flynn Lambley</t>
        </is>
      </c>
      <c r="C211" t="inlineStr">
        <is>
          <t>Huddersfield Star Wheelers</t>
        </is>
      </c>
      <c r="D211" t="inlineStr">
        <is>
          <t>15</t>
        </is>
      </c>
      <c r="E211" s="2">
        <f>HYPERLINK("https://www.britishcycling.org.uk/points?person_id=758124&amp;year=2024&amp;type=national&amp;d=6","Results")</f>
        <v/>
      </c>
    </row>
    <row r="212">
      <c r="A212" t="inlineStr">
        <is>
          <t>211</t>
        </is>
      </c>
      <c r="B212" t="inlineStr">
        <is>
          <t>Ben Cleave</t>
        </is>
      </c>
      <c r="C212" t="inlineStr">
        <is>
          <t>Celtic Tri</t>
        </is>
      </c>
      <c r="D212" t="inlineStr">
        <is>
          <t>14</t>
        </is>
      </c>
      <c r="E212" s="2">
        <f>HYPERLINK("https://www.britishcycling.org.uk/points?person_id=1001121&amp;year=2024&amp;type=national&amp;d=6","Results")</f>
        <v/>
      </c>
    </row>
    <row r="213">
      <c r="A213" t="inlineStr">
        <is>
          <t>212</t>
        </is>
      </c>
      <c r="B213" t="inlineStr">
        <is>
          <t>Elliot Howard</t>
        </is>
      </c>
      <c r="C213" t="inlineStr">
        <is>
          <t>Herne Hill Youth CC</t>
        </is>
      </c>
      <c r="D213" t="inlineStr">
        <is>
          <t>14</t>
        </is>
      </c>
      <c r="E213" s="2">
        <f>HYPERLINK("https://www.britishcycling.org.uk/points?person_id=987394&amp;year=2024&amp;type=national&amp;d=6","Results")</f>
        <v/>
      </c>
    </row>
    <row r="214">
      <c r="A214" t="inlineStr">
        <is>
          <t>213</t>
        </is>
      </c>
      <c r="B214" t="inlineStr">
        <is>
          <t>Charlie Larner</t>
        </is>
      </c>
      <c r="C214" t="inlineStr">
        <is>
          <t>Lichfield City CC</t>
        </is>
      </c>
      <c r="D214" t="inlineStr">
        <is>
          <t>14</t>
        </is>
      </c>
      <c r="E214" s="2">
        <f>HYPERLINK("https://www.britishcycling.org.uk/points?person_id=464783&amp;year=2024&amp;type=national&amp;d=6","Results")</f>
        <v/>
      </c>
    </row>
    <row r="215">
      <c r="A215" t="inlineStr">
        <is>
          <t>214</t>
        </is>
      </c>
      <c r="B215" t="inlineStr">
        <is>
          <t>George Palmer</t>
        </is>
      </c>
      <c r="C215" t="inlineStr">
        <is>
          <t>Solent Pirates</t>
        </is>
      </c>
      <c r="D215" t="inlineStr">
        <is>
          <t>14</t>
        </is>
      </c>
      <c r="E215" s="2">
        <f>HYPERLINK("https://www.britishcycling.org.uk/points?person_id=1012286&amp;year=2024&amp;type=national&amp;d=6","Results")</f>
        <v/>
      </c>
    </row>
    <row r="216">
      <c r="A216" t="inlineStr">
        <is>
          <t>215</t>
        </is>
      </c>
      <c r="B216" t="inlineStr">
        <is>
          <t>Charles van Adrichem</t>
        </is>
      </c>
      <c r="C216" t="inlineStr">
        <is>
          <t>Stafford Road Club</t>
        </is>
      </c>
      <c r="D216" t="inlineStr">
        <is>
          <t>14</t>
        </is>
      </c>
      <c r="E216" s="2">
        <f>HYPERLINK("https://www.britishcycling.org.uk/points?person_id=734494&amp;year=2024&amp;type=national&amp;d=6","Results")</f>
        <v/>
      </c>
    </row>
    <row r="217">
      <c r="A217" t="inlineStr">
        <is>
          <t>216</t>
        </is>
      </c>
      <c r="B217" t="inlineStr">
        <is>
          <t>Dexter Saville</t>
        </is>
      </c>
      <c r="C217" t="inlineStr">
        <is>
          <t>Verulam - reallymoving.com</t>
        </is>
      </c>
      <c r="D217" t="inlineStr">
        <is>
          <t>12</t>
        </is>
      </c>
      <c r="E217" s="2">
        <f>HYPERLINK("https://www.britishcycling.org.uk/points?person_id=1162658&amp;year=2024&amp;type=national&amp;d=6","Results")</f>
        <v/>
      </c>
    </row>
    <row r="218">
      <c r="A218" t="inlineStr">
        <is>
          <t>217</t>
        </is>
      </c>
      <c r="B218" t="inlineStr">
        <is>
          <t>James Collier</t>
        </is>
      </c>
      <c r="C218" t="inlineStr"/>
      <c r="D218" t="inlineStr">
        <is>
          <t>11</t>
        </is>
      </c>
      <c r="E218" s="2">
        <f>HYPERLINK("https://www.britishcycling.org.uk/points?person_id=1159987&amp;year=2024&amp;type=national&amp;d=6","Results")</f>
        <v/>
      </c>
    </row>
    <row r="219">
      <c r="A219" t="inlineStr">
        <is>
          <t>218</t>
        </is>
      </c>
      <c r="B219" t="inlineStr">
        <is>
          <t>Oliver Holt</t>
        </is>
      </c>
      <c r="C219" t="inlineStr">
        <is>
          <t>ESV Manchester</t>
        </is>
      </c>
      <c r="D219" t="inlineStr">
        <is>
          <t>11</t>
        </is>
      </c>
      <c r="E219" s="2">
        <f>HYPERLINK("https://www.britishcycling.org.uk/points?person_id=1037740&amp;year=2024&amp;type=national&amp;d=6","Results")</f>
        <v/>
      </c>
    </row>
    <row r="220">
      <c r="A220" t="inlineStr">
        <is>
          <t>219</t>
        </is>
      </c>
      <c r="B220" t="inlineStr">
        <is>
          <t>Dylan Barnett</t>
        </is>
      </c>
      <c r="C220" t="inlineStr">
        <is>
          <t>Cycle Derby CC</t>
        </is>
      </c>
      <c r="D220" t="inlineStr">
        <is>
          <t>10</t>
        </is>
      </c>
      <c r="E220" s="2">
        <f>HYPERLINK("https://www.britishcycling.org.uk/points?person_id=837723&amp;year=2024&amp;type=national&amp;d=6","Results")</f>
        <v/>
      </c>
    </row>
    <row r="221">
      <c r="A221" t="inlineStr">
        <is>
          <t>220</t>
        </is>
      </c>
      <c r="B221" t="inlineStr">
        <is>
          <t>Peter Evans</t>
        </is>
      </c>
      <c r="C221" t="inlineStr"/>
      <c r="D221" t="inlineStr">
        <is>
          <t>10</t>
        </is>
      </c>
      <c r="E221" s="2">
        <f>HYPERLINK("https://www.britishcycling.org.uk/points?person_id=1134092&amp;year=2024&amp;type=national&amp;d=6","Results")</f>
        <v/>
      </c>
    </row>
    <row r="222">
      <c r="A222" t="inlineStr">
        <is>
          <t>221</t>
        </is>
      </c>
      <c r="B222" t="inlineStr">
        <is>
          <t>Jacob Holsgrove</t>
        </is>
      </c>
      <c r="C222" t="inlineStr">
        <is>
          <t>ESV Manchester</t>
        </is>
      </c>
      <c r="D222" t="inlineStr">
        <is>
          <t>10</t>
        </is>
      </c>
      <c r="E222" s="2">
        <f>HYPERLINK("https://www.britishcycling.org.uk/points?person_id=1120570&amp;year=2024&amp;type=national&amp;d=6","Results")</f>
        <v/>
      </c>
    </row>
    <row r="223">
      <c r="A223" t="inlineStr">
        <is>
          <t>222</t>
        </is>
      </c>
      <c r="B223" t="inlineStr">
        <is>
          <t>Barney Howard</t>
        </is>
      </c>
      <c r="C223" t="inlineStr">
        <is>
          <t>Herne Hill Youth CC</t>
        </is>
      </c>
      <c r="D223" t="inlineStr">
        <is>
          <t>10</t>
        </is>
      </c>
      <c r="E223" s="2">
        <f>HYPERLINK("https://www.britishcycling.org.uk/points?person_id=987392&amp;year=2024&amp;type=national&amp;d=6","Results")</f>
        <v/>
      </c>
    </row>
    <row r="224">
      <c r="A224" t="inlineStr">
        <is>
          <t>223</t>
        </is>
      </c>
      <c r="B224" t="inlineStr">
        <is>
          <t>Ryan Roberts</t>
        </is>
      </c>
      <c r="C224" t="inlineStr"/>
      <c r="D224" t="inlineStr">
        <is>
          <t>10</t>
        </is>
      </c>
      <c r="E224" s="2">
        <f>HYPERLINK("https://www.britishcycling.org.uk/points?person_id=1157137&amp;year=2024&amp;type=national&amp;d=6","Results")</f>
        <v/>
      </c>
    </row>
    <row r="225">
      <c r="A225" t="inlineStr">
        <is>
          <t>224</t>
        </is>
      </c>
      <c r="B225" t="inlineStr">
        <is>
          <t>Thomas Smith</t>
        </is>
      </c>
      <c r="C225" t="inlineStr">
        <is>
          <t>Clifton CC</t>
        </is>
      </c>
      <c r="D225" t="inlineStr">
        <is>
          <t>10</t>
        </is>
      </c>
      <c r="E225" s="2">
        <f>HYPERLINK("https://www.britishcycling.org.uk/points?person_id=651939&amp;year=2024&amp;type=national&amp;d=6","Results")</f>
        <v/>
      </c>
    </row>
    <row r="226">
      <c r="A226" t="inlineStr">
        <is>
          <t>225</t>
        </is>
      </c>
      <c r="B226" t="inlineStr">
        <is>
          <t>Dexter Pile</t>
        </is>
      </c>
      <c r="C226" t="inlineStr">
        <is>
          <t>Mid Shropshire Wheelers</t>
        </is>
      </c>
      <c r="D226" t="inlineStr">
        <is>
          <t>9</t>
        </is>
      </c>
      <c r="E226" s="2">
        <f>HYPERLINK("https://www.britishcycling.org.uk/points?person_id=1130290&amp;year=2024&amp;type=national&amp;d=6","Results")</f>
        <v/>
      </c>
    </row>
    <row r="227">
      <c r="A227" t="inlineStr">
        <is>
          <t>226</t>
        </is>
      </c>
      <c r="B227" t="inlineStr">
        <is>
          <t>Theodore Woodcock</t>
        </is>
      </c>
      <c r="C227" t="inlineStr">
        <is>
          <t>Sulis Scorpions Youth CC</t>
        </is>
      </c>
      <c r="D227" t="inlineStr">
        <is>
          <t>9</t>
        </is>
      </c>
      <c r="E227" s="2">
        <f>HYPERLINK("https://www.britishcycling.org.uk/points?person_id=1032441&amp;year=2024&amp;type=national&amp;d=6","Results")</f>
        <v/>
      </c>
    </row>
    <row r="228">
      <c r="A228" t="inlineStr">
        <is>
          <t>227</t>
        </is>
      </c>
      <c r="B228" t="inlineStr">
        <is>
          <t>Joshua Lane</t>
        </is>
      </c>
      <c r="C228" t="inlineStr">
        <is>
          <t>Nottingham Clarion CC</t>
        </is>
      </c>
      <c r="D228" t="inlineStr">
        <is>
          <t>8</t>
        </is>
      </c>
      <c r="E228" s="2">
        <f>HYPERLINK("https://www.britishcycling.org.uk/points?person_id=735828&amp;year=2024&amp;type=national&amp;d=6","Results")</f>
        <v/>
      </c>
    </row>
    <row r="229">
      <c r="A229" t="inlineStr">
        <is>
          <t>228</t>
        </is>
      </c>
      <c r="B229" t="inlineStr">
        <is>
          <t>Isaac Minshall</t>
        </is>
      </c>
      <c r="C229" t="inlineStr"/>
      <c r="D229" t="inlineStr">
        <is>
          <t>8</t>
        </is>
      </c>
      <c r="E229" s="2">
        <f>HYPERLINK("https://www.britishcycling.org.uk/points?person_id=1160742&amp;year=2024&amp;type=national&amp;d=6","Results")</f>
        <v/>
      </c>
    </row>
    <row r="230">
      <c r="A230" t="inlineStr">
        <is>
          <t>229</t>
        </is>
      </c>
      <c r="B230" t="inlineStr">
        <is>
          <t>Oskar O'Rawe</t>
        </is>
      </c>
      <c r="C230" t="inlineStr">
        <is>
          <t>Southborough &amp; District Whls</t>
        </is>
      </c>
      <c r="D230" t="inlineStr">
        <is>
          <t>8</t>
        </is>
      </c>
      <c r="E230" s="2">
        <f>HYPERLINK("https://www.britishcycling.org.uk/points?person_id=1124126&amp;year=2024&amp;type=national&amp;d=6","Results")</f>
        <v/>
      </c>
    </row>
    <row r="231">
      <c r="A231" t="inlineStr">
        <is>
          <t>230</t>
        </is>
      </c>
      <c r="B231" t="inlineStr">
        <is>
          <t>Arthur Balandier</t>
        </is>
      </c>
      <c r="C231" t="inlineStr">
        <is>
          <t>Stratford CC</t>
        </is>
      </c>
      <c r="D231" t="inlineStr">
        <is>
          <t>7</t>
        </is>
      </c>
      <c r="E231" s="2">
        <f>HYPERLINK("https://www.britishcycling.org.uk/points?person_id=1135400&amp;year=2024&amp;type=national&amp;d=6","Results")</f>
        <v/>
      </c>
    </row>
    <row r="232">
      <c r="A232" t="inlineStr">
        <is>
          <t>231</t>
        </is>
      </c>
      <c r="B232" t="inlineStr">
        <is>
          <t>Finley Freeman</t>
        </is>
      </c>
      <c r="C232" t="inlineStr">
        <is>
          <t>Palmer Park Velo RT</t>
        </is>
      </c>
      <c r="D232" t="inlineStr">
        <is>
          <t>7</t>
        </is>
      </c>
      <c r="E232" s="2">
        <f>HYPERLINK("https://www.britishcycling.org.uk/points?person_id=1015844&amp;year=2024&amp;type=national&amp;d=6","Results")</f>
        <v/>
      </c>
    </row>
    <row r="233">
      <c r="A233" t="inlineStr">
        <is>
          <t>232</t>
        </is>
      </c>
      <c r="B233" t="inlineStr">
        <is>
          <t>Liam Sinclair</t>
        </is>
      </c>
      <c r="C233" t="inlineStr">
        <is>
          <t>Southborough &amp; District Whls</t>
        </is>
      </c>
      <c r="D233" t="inlineStr">
        <is>
          <t>6</t>
        </is>
      </c>
      <c r="E233" s="2">
        <f>HYPERLINK("https://www.britishcycling.org.uk/points?person_id=1098861&amp;year=2024&amp;type=national&amp;d=6","Results")</f>
        <v/>
      </c>
    </row>
    <row r="234">
      <c r="A234" t="inlineStr">
        <is>
          <t>233</t>
        </is>
      </c>
      <c r="B234" t="inlineStr">
        <is>
          <t>James Blankley</t>
        </is>
      </c>
      <c r="C234" t="inlineStr">
        <is>
          <t>Sotonia CC</t>
        </is>
      </c>
      <c r="D234" t="inlineStr">
        <is>
          <t>5</t>
        </is>
      </c>
      <c r="E234" s="2">
        <f>HYPERLINK("https://www.britishcycling.org.uk/points?person_id=874855&amp;year=2024&amp;type=national&amp;d=6","Results")</f>
        <v/>
      </c>
    </row>
    <row r="235">
      <c r="A235" t="inlineStr">
        <is>
          <t>234</t>
        </is>
      </c>
      <c r="B235" t="inlineStr">
        <is>
          <t>Ben Boyd</t>
        </is>
      </c>
      <c r="C235" t="inlineStr">
        <is>
          <t>Velo Club Venta</t>
        </is>
      </c>
      <c r="D235" t="inlineStr">
        <is>
          <t>5</t>
        </is>
      </c>
      <c r="E235" s="2">
        <f>HYPERLINK("https://www.britishcycling.org.uk/points?person_id=475401&amp;year=2024&amp;type=national&amp;d=6","Results")</f>
        <v/>
      </c>
    </row>
    <row r="236">
      <c r="A236" t="inlineStr">
        <is>
          <t>235</t>
        </is>
      </c>
      <c r="B236" t="inlineStr">
        <is>
          <t>Edward Thornton</t>
        </is>
      </c>
      <c r="C236" t="inlineStr">
        <is>
          <t>Bronte Tykes Cycling Club</t>
        </is>
      </c>
      <c r="D236" t="inlineStr">
        <is>
          <t>5</t>
        </is>
      </c>
      <c r="E236" s="2">
        <f>HYPERLINK("https://www.britishcycling.org.uk/points?person_id=540654&amp;year=2024&amp;type=national&amp;d=6","Results")</f>
        <v/>
      </c>
    </row>
    <row r="237">
      <c r="A237" t="inlineStr">
        <is>
          <t>236</t>
        </is>
      </c>
      <c r="B237" t="inlineStr">
        <is>
          <t>George Boustred</t>
        </is>
      </c>
      <c r="C237" t="inlineStr"/>
      <c r="D237" t="inlineStr">
        <is>
          <t>4</t>
        </is>
      </c>
      <c r="E237" s="2">
        <f>HYPERLINK("https://www.britishcycling.org.uk/points?person_id=1160797&amp;year=2024&amp;type=national&amp;d=6","Results")</f>
        <v/>
      </c>
    </row>
    <row r="238">
      <c r="A238" t="inlineStr">
        <is>
          <t>237</t>
        </is>
      </c>
      <c r="B238" t="inlineStr">
        <is>
          <t>Billy Kee</t>
        </is>
      </c>
      <c r="C238" t="inlineStr">
        <is>
          <t>Lee Velo (South East London)</t>
        </is>
      </c>
      <c r="D238" t="inlineStr">
        <is>
          <t>4</t>
        </is>
      </c>
      <c r="E238" s="2">
        <f>HYPERLINK("https://www.britishcycling.org.uk/points?person_id=1119075&amp;year=2024&amp;type=national&amp;d=6","Results")</f>
        <v/>
      </c>
    </row>
    <row r="239">
      <c r="A239" t="inlineStr">
        <is>
          <t>238</t>
        </is>
      </c>
      <c r="B239" t="inlineStr">
        <is>
          <t>Joshua Pullen</t>
        </is>
      </c>
      <c r="C239" t="inlineStr">
        <is>
          <t>Bronte Tykes Cycling Club</t>
        </is>
      </c>
      <c r="D239" t="inlineStr">
        <is>
          <t>4</t>
        </is>
      </c>
      <c r="E239" s="2">
        <f>HYPERLINK("https://www.britishcycling.org.uk/points?person_id=765533&amp;year=2024&amp;type=national&amp;d=6","Results")</f>
        <v/>
      </c>
    </row>
    <row r="240">
      <c r="A240" t="inlineStr">
        <is>
          <t>239</t>
        </is>
      </c>
      <c r="B240" t="inlineStr">
        <is>
          <t>Alexander Campbell</t>
        </is>
      </c>
      <c r="C240" t="inlineStr"/>
      <c r="D240" t="inlineStr">
        <is>
          <t>3</t>
        </is>
      </c>
      <c r="E240" s="2">
        <f>HYPERLINK("https://www.britishcycling.org.uk/points?person_id=445500&amp;year=2024&amp;type=national&amp;d=6","Results")</f>
        <v/>
      </c>
    </row>
    <row r="241">
      <c r="A241" t="inlineStr">
        <is>
          <t>240</t>
        </is>
      </c>
      <c r="B241" t="inlineStr">
        <is>
          <t>William Kennard</t>
        </is>
      </c>
      <c r="C241" t="inlineStr">
        <is>
          <t>VC Jubilee</t>
        </is>
      </c>
      <c r="D241" t="inlineStr">
        <is>
          <t>2</t>
        </is>
      </c>
      <c r="E241" s="2">
        <f>HYPERLINK("https://www.britishcycling.org.uk/points?person_id=1157880&amp;year=2024&amp;type=national&amp;d=6","Results")</f>
        <v/>
      </c>
    </row>
    <row r="242">
      <c r="A242" t="inlineStr">
        <is>
          <t>241</t>
        </is>
      </c>
      <c r="B242" t="inlineStr">
        <is>
          <t>Gregory Read</t>
        </is>
      </c>
      <c r="C242" t="inlineStr">
        <is>
          <t>Nottingham Clarion CC</t>
        </is>
      </c>
      <c r="D242" t="inlineStr">
        <is>
          <t>2</t>
        </is>
      </c>
      <c r="E242" s="2">
        <f>HYPERLINK("https://www.britishcycling.org.uk/points?person_id=812964&amp;year=2024&amp;type=national&amp;d=6","Results")</f>
        <v/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F179"/>
  <sheetViews>
    <sheetView workbookViewId="0">
      <selection activeCell="A1" sqref="A1"/>
    </sheetView>
  </sheetViews>
  <sheetFormatPr baseColWidth="8" defaultRowHeight="15"/>
  <cols>
    <col width="8" customWidth="1" min="1" max="1"/>
    <col width="25" customWidth="1" min="2" max="2"/>
    <col width="50" customWidth="1" min="3" max="3"/>
    <col width="7" customWidth="1" min="4" max="4"/>
    <col width="20" customWidth="1" min="5" max="5"/>
  </cols>
  <sheetData>
    <row r="1">
      <c r="A1" s="1" t="inlineStr">
        <is>
          <t>Ranking</t>
        </is>
      </c>
      <c r="B1" s="1" t="inlineStr">
        <is>
          <t>Name</t>
        </is>
      </c>
      <c r="C1" s="1" t="inlineStr">
        <is>
          <t>Club/Team</t>
        </is>
      </c>
      <c r="D1" s="1" t="inlineStr">
        <is>
          <t>Points</t>
        </is>
      </c>
      <c r="E1" s="1" t="inlineStr">
        <is>
          <t>Detail (click)</t>
        </is>
      </c>
      <c r="F1" s="1" t="inlineStr">
        <is>
          <t>Updated: 2024-12-20</t>
        </is>
      </c>
    </row>
    <row r="2">
      <c r="A2" t="inlineStr">
        <is>
          <t>1</t>
        </is>
      </c>
      <c r="B2" t="inlineStr">
        <is>
          <t>Oscar Amey</t>
        </is>
      </c>
      <c r="C2" t="inlineStr">
        <is>
          <t>Trinity Racing Cross</t>
        </is>
      </c>
      <c r="D2" t="inlineStr">
        <is>
          <t>510</t>
        </is>
      </c>
      <c r="E2" s="2">
        <f>HYPERLINK("https://www.britishcycling.org.uk/points?person_id=218544&amp;year=2024&amp;type=national&amp;d=6","Results")</f>
        <v/>
      </c>
    </row>
    <row r="3">
      <c r="A3" t="inlineStr">
        <is>
          <t>2</t>
        </is>
      </c>
      <c r="B3" t="inlineStr">
        <is>
          <t>Keane Beckham</t>
        </is>
      </c>
      <c r="C3" t="inlineStr">
        <is>
          <t>Diss &amp; District CC</t>
        </is>
      </c>
      <c r="D3" t="inlineStr">
        <is>
          <t>364</t>
        </is>
      </c>
      <c r="E3" s="2">
        <f>HYPERLINK("https://www.britishcycling.org.uk/points?person_id=948422&amp;year=2024&amp;type=national&amp;d=6","Results")</f>
        <v/>
      </c>
    </row>
    <row r="4">
      <c r="A4" t="inlineStr">
        <is>
          <t>3</t>
        </is>
      </c>
      <c r="B4" t="inlineStr">
        <is>
          <t>Milo Wills</t>
        </is>
      </c>
      <c r="C4" t="inlineStr">
        <is>
          <t>GKR Racing</t>
        </is>
      </c>
      <c r="D4" t="inlineStr">
        <is>
          <t>358</t>
        </is>
      </c>
      <c r="E4" s="2">
        <f>HYPERLINK("https://www.britishcycling.org.uk/points?person_id=753569&amp;year=2024&amp;type=national&amp;d=6","Results")</f>
        <v/>
      </c>
    </row>
    <row r="5">
      <c r="A5" t="inlineStr">
        <is>
          <t>4</t>
        </is>
      </c>
      <c r="B5" t="inlineStr">
        <is>
          <t>Archie Sewell-Gaiger</t>
        </is>
      </c>
      <c r="C5" t="inlineStr"/>
      <c r="D5" t="inlineStr">
        <is>
          <t>356</t>
        </is>
      </c>
      <c r="E5" s="2">
        <f>HYPERLINK("https://www.britishcycling.org.uk/points?person_id=709196&amp;year=2024&amp;type=national&amp;d=6","Results")</f>
        <v/>
      </c>
    </row>
    <row r="6">
      <c r="A6" t="inlineStr">
        <is>
          <t>5</t>
        </is>
      </c>
      <c r="B6" t="inlineStr">
        <is>
          <t>Jamie Stewart</t>
        </is>
      </c>
      <c r="C6" t="inlineStr">
        <is>
          <t>Shibden Cycling Club</t>
        </is>
      </c>
      <c r="D6" t="inlineStr">
        <is>
          <t>354</t>
        </is>
      </c>
      <c r="E6" s="2">
        <f>HYPERLINK("https://www.britishcycling.org.uk/points?person_id=359028&amp;year=2024&amp;type=national&amp;d=6","Results")</f>
        <v/>
      </c>
    </row>
    <row r="7">
      <c r="A7" t="inlineStr">
        <is>
          <t>6</t>
        </is>
      </c>
      <c r="B7" t="inlineStr">
        <is>
          <t>Samuel Stacey</t>
        </is>
      </c>
      <c r="C7" t="inlineStr">
        <is>
          <t>Verulam - reallymoving.com</t>
        </is>
      </c>
      <c r="D7" t="inlineStr">
        <is>
          <t>346</t>
        </is>
      </c>
      <c r="E7" s="2">
        <f>HYPERLINK("https://www.britishcycling.org.uk/points?person_id=1010955&amp;year=2024&amp;type=national&amp;d=6","Results")</f>
        <v/>
      </c>
    </row>
    <row r="8">
      <c r="A8" t="inlineStr">
        <is>
          <t>7</t>
        </is>
      </c>
      <c r="B8" t="inlineStr">
        <is>
          <t>Jacob Mauger</t>
        </is>
      </c>
      <c r="C8" t="inlineStr">
        <is>
          <t>Lee Valley Youth Cycling Club</t>
        </is>
      </c>
      <c r="D8" t="inlineStr">
        <is>
          <t>342</t>
        </is>
      </c>
      <c r="E8" s="2">
        <f>HYPERLINK("https://www.britishcycling.org.uk/points?person_id=656882&amp;year=2024&amp;type=national&amp;d=6","Results")</f>
        <v/>
      </c>
    </row>
    <row r="9">
      <c r="A9" t="inlineStr">
        <is>
          <t>8</t>
        </is>
      </c>
      <c r="B9" t="inlineStr">
        <is>
          <t>Declan Oldham</t>
        </is>
      </c>
      <c r="C9" t="inlineStr">
        <is>
          <t>Hope Tech Factory Racing</t>
        </is>
      </c>
      <c r="D9" t="inlineStr">
        <is>
          <t>322</t>
        </is>
      </c>
      <c r="E9" s="2">
        <f>HYPERLINK("https://www.britishcycling.org.uk/points?person_id=766143&amp;year=2024&amp;type=national&amp;d=6","Results")</f>
        <v/>
      </c>
    </row>
    <row r="10">
      <c r="A10" t="inlineStr">
        <is>
          <t>9</t>
        </is>
      </c>
      <c r="B10" t="inlineStr">
        <is>
          <t>Jody Mills</t>
        </is>
      </c>
      <c r="C10" t="inlineStr">
        <is>
          <t>Zappi Junior Race Team</t>
        </is>
      </c>
      <c r="D10" t="inlineStr">
        <is>
          <t>310</t>
        </is>
      </c>
      <c r="E10" s="2">
        <f>HYPERLINK("https://www.britishcycling.org.uk/points?person_id=391866&amp;year=2024&amp;type=national&amp;d=6","Results")</f>
        <v/>
      </c>
    </row>
    <row r="11">
      <c r="A11" t="inlineStr">
        <is>
          <t>10</t>
        </is>
      </c>
      <c r="B11" t="inlineStr">
        <is>
          <t>Samuel Brownsword</t>
        </is>
      </c>
      <c r="C11" t="inlineStr">
        <is>
          <t>Solihull CC</t>
        </is>
      </c>
      <c r="D11" t="inlineStr">
        <is>
          <t>300</t>
        </is>
      </c>
      <c r="E11" s="2">
        <f>HYPERLINK("https://www.britishcycling.org.uk/points?person_id=191654&amp;year=2024&amp;type=national&amp;d=6","Results")</f>
        <v/>
      </c>
    </row>
    <row r="12">
      <c r="A12" t="inlineStr">
        <is>
          <t>11</t>
        </is>
      </c>
      <c r="B12" t="inlineStr">
        <is>
          <t>Harrison Evans</t>
        </is>
      </c>
      <c r="C12" t="inlineStr">
        <is>
          <t>Team Pau</t>
        </is>
      </c>
      <c r="D12" t="inlineStr">
        <is>
          <t>300</t>
        </is>
      </c>
      <c r="E12" s="2">
        <f>HYPERLINK("https://www.britishcycling.org.uk/points?person_id=735594&amp;year=2024&amp;type=national&amp;d=6","Results")</f>
        <v/>
      </c>
    </row>
    <row r="13">
      <c r="A13" t="inlineStr">
        <is>
          <t>12</t>
        </is>
      </c>
      <c r="B13" t="inlineStr">
        <is>
          <t>Jamie Kershaw</t>
        </is>
      </c>
      <c r="C13" t="inlineStr">
        <is>
          <t>Welland Valley CC</t>
        </is>
      </c>
      <c r="D13" t="inlineStr">
        <is>
          <t>298</t>
        </is>
      </c>
      <c r="E13" s="2">
        <f>HYPERLINK("https://www.britishcycling.org.uk/points?person_id=450792&amp;year=2024&amp;type=national&amp;d=6","Results")</f>
        <v/>
      </c>
    </row>
    <row r="14">
      <c r="A14" t="inlineStr">
        <is>
          <t>13</t>
        </is>
      </c>
      <c r="B14" t="inlineStr">
        <is>
          <t>Niclas Olley</t>
        </is>
      </c>
      <c r="C14" t="inlineStr">
        <is>
          <t>Sotonia CC</t>
        </is>
      </c>
      <c r="D14" t="inlineStr">
        <is>
          <t>294</t>
        </is>
      </c>
      <c r="E14" s="2">
        <f>HYPERLINK("https://www.britishcycling.org.uk/points?person_id=947466&amp;year=2024&amp;type=national&amp;d=6","Results")</f>
        <v/>
      </c>
    </row>
    <row r="15">
      <c r="A15" t="inlineStr">
        <is>
          <t>14</t>
        </is>
      </c>
      <c r="B15" t="inlineStr">
        <is>
          <t>Isaac Oliver</t>
        </is>
      </c>
      <c r="C15" t="inlineStr">
        <is>
          <t>Harrogate Nova Race Team</t>
        </is>
      </c>
      <c r="D15" t="inlineStr">
        <is>
          <t>276</t>
        </is>
      </c>
      <c r="E15" s="2">
        <f>HYPERLINK("https://www.britishcycling.org.uk/points?person_id=951372&amp;year=2024&amp;type=national&amp;d=6","Results")</f>
        <v/>
      </c>
    </row>
    <row r="16">
      <c r="A16" t="inlineStr">
        <is>
          <t>15</t>
        </is>
      </c>
      <c r="B16" t="inlineStr">
        <is>
          <t>Max Burkitt</t>
        </is>
      </c>
      <c r="C16" t="inlineStr">
        <is>
          <t>Lincoln Wheelers CC</t>
        </is>
      </c>
      <c r="D16" t="inlineStr">
        <is>
          <t>248</t>
        </is>
      </c>
      <c r="E16" s="2">
        <f>HYPERLINK("https://www.britishcycling.org.uk/points?person_id=619358&amp;year=2024&amp;type=national&amp;d=6","Results")</f>
        <v/>
      </c>
    </row>
    <row r="17">
      <c r="A17" t="inlineStr">
        <is>
          <t>16</t>
        </is>
      </c>
      <c r="B17" t="inlineStr">
        <is>
          <t>Innes McDonald</t>
        </is>
      </c>
      <c r="C17" t="inlineStr">
        <is>
          <t>Scotia Offroad Race Team (SORT)</t>
        </is>
      </c>
      <c r="D17" t="inlineStr">
        <is>
          <t>248</t>
        </is>
      </c>
      <c r="E17" s="2">
        <f>HYPERLINK("https://www.britishcycling.org.uk/points?person_id=340261&amp;year=2024&amp;type=national&amp;d=6","Results")</f>
        <v/>
      </c>
    </row>
    <row r="18">
      <c r="A18" t="inlineStr">
        <is>
          <t>17</t>
        </is>
      </c>
      <c r="B18" t="inlineStr">
        <is>
          <t>Cameron Annable</t>
        </is>
      </c>
      <c r="C18" t="inlineStr">
        <is>
          <t>Derwentside CC</t>
        </is>
      </c>
      <c r="D18" t="inlineStr">
        <is>
          <t>240</t>
        </is>
      </c>
      <c r="E18" s="2">
        <f>HYPERLINK("https://www.britishcycling.org.uk/points?person_id=512582&amp;year=2024&amp;type=national&amp;d=6","Results")</f>
        <v/>
      </c>
    </row>
    <row r="19">
      <c r="A19" t="inlineStr">
        <is>
          <t>18</t>
        </is>
      </c>
      <c r="B19" t="inlineStr">
        <is>
          <t>Luca Bednarek</t>
        </is>
      </c>
      <c r="C19" t="inlineStr">
        <is>
          <t>Trinity Racing Cross</t>
        </is>
      </c>
      <c r="D19" t="inlineStr">
        <is>
          <t>236</t>
        </is>
      </c>
      <c r="E19" s="2">
        <f>HYPERLINK("https://www.britishcycling.org.uk/points?person_id=469206&amp;year=2024&amp;type=national&amp;d=6","Results")</f>
        <v/>
      </c>
    </row>
    <row r="20">
      <c r="A20" t="inlineStr">
        <is>
          <t>19</t>
        </is>
      </c>
      <c r="B20" t="inlineStr">
        <is>
          <t>Aidan Walters</t>
        </is>
      </c>
      <c r="C20" t="inlineStr">
        <is>
          <t>Stafford Road Club</t>
        </is>
      </c>
      <c r="D20" t="inlineStr">
        <is>
          <t>227</t>
        </is>
      </c>
      <c r="E20" s="2">
        <f>HYPERLINK("https://www.britishcycling.org.uk/points?person_id=1107304&amp;year=2024&amp;type=national&amp;d=6","Results")</f>
        <v/>
      </c>
    </row>
    <row r="21">
      <c r="A21" t="inlineStr">
        <is>
          <t>20</t>
        </is>
      </c>
      <c r="B21" t="inlineStr">
        <is>
          <t>Reuben Cox</t>
        </is>
      </c>
      <c r="C21" t="inlineStr">
        <is>
          <t>Maindy Flyers CC</t>
        </is>
      </c>
      <c r="D21" t="inlineStr">
        <is>
          <t>224</t>
        </is>
      </c>
      <c r="E21" s="2">
        <f>HYPERLINK("https://www.britishcycling.org.uk/points?person_id=829039&amp;year=2024&amp;type=national&amp;d=6","Results")</f>
        <v/>
      </c>
    </row>
    <row r="22">
      <c r="A22" t="inlineStr">
        <is>
          <t>21</t>
        </is>
      </c>
      <c r="B22" t="inlineStr">
        <is>
          <t>Jacob Steed</t>
        </is>
      </c>
      <c r="C22" t="inlineStr">
        <is>
          <t>Sherwood Pines Cycles Forme</t>
        </is>
      </c>
      <c r="D22" t="inlineStr">
        <is>
          <t>220</t>
        </is>
      </c>
      <c r="E22" s="2">
        <f>HYPERLINK("https://www.britishcycling.org.uk/points?person_id=309236&amp;year=2024&amp;type=national&amp;d=6","Results")</f>
        <v/>
      </c>
    </row>
    <row r="23">
      <c r="A23" t="inlineStr">
        <is>
          <t>22</t>
        </is>
      </c>
      <c r="B23" t="inlineStr">
        <is>
          <t>Ben Osborne</t>
        </is>
      </c>
      <c r="C23" t="inlineStr">
        <is>
          <t>4T+ Cyclopark</t>
        </is>
      </c>
      <c r="D23" t="inlineStr">
        <is>
          <t>218</t>
        </is>
      </c>
      <c r="E23" s="2">
        <f>HYPERLINK("https://www.britishcycling.org.uk/points?person_id=1149630&amp;year=2024&amp;type=national&amp;d=6","Results")</f>
        <v/>
      </c>
    </row>
    <row r="24">
      <c r="A24" t="inlineStr">
        <is>
          <t>23</t>
        </is>
      </c>
      <c r="B24" t="inlineStr">
        <is>
          <t>Thomas Lewis</t>
        </is>
      </c>
      <c r="C24" t="inlineStr">
        <is>
          <t>ROTOR Race Team</t>
        </is>
      </c>
      <c r="D24" t="inlineStr">
        <is>
          <t>216</t>
        </is>
      </c>
      <c r="E24" s="2">
        <f>HYPERLINK("https://www.britishcycling.org.uk/points?person_id=681513&amp;year=2024&amp;type=national&amp;d=6","Results")</f>
        <v/>
      </c>
    </row>
    <row r="25">
      <c r="A25" t="inlineStr">
        <is>
          <t>24</t>
        </is>
      </c>
      <c r="B25" t="inlineStr">
        <is>
          <t>James Bushell</t>
        </is>
      </c>
      <c r="C25" t="inlineStr">
        <is>
          <t>Sleaford Wheelers Cycling Club</t>
        </is>
      </c>
      <c r="D25" t="inlineStr">
        <is>
          <t>214</t>
        </is>
      </c>
      <c r="E25" s="2">
        <f>HYPERLINK("https://www.britishcycling.org.uk/points?person_id=734745&amp;year=2024&amp;type=national&amp;d=6","Results")</f>
        <v/>
      </c>
    </row>
    <row r="26">
      <c r="A26" t="inlineStr">
        <is>
          <t>25</t>
        </is>
      </c>
      <c r="B26" t="inlineStr">
        <is>
          <t>Oliver Barker</t>
        </is>
      </c>
      <c r="C26" t="inlineStr">
        <is>
          <t>Xcomtb.com Race Team</t>
        </is>
      </c>
      <c r="D26" t="inlineStr">
        <is>
          <t>212</t>
        </is>
      </c>
      <c r="E26" s="2">
        <f>HYPERLINK("https://www.britishcycling.org.uk/points?person_id=392100&amp;year=2024&amp;type=national&amp;d=6","Results")</f>
        <v/>
      </c>
    </row>
    <row r="27">
      <c r="A27" t="inlineStr">
        <is>
          <t>26</t>
        </is>
      </c>
      <c r="B27" t="inlineStr">
        <is>
          <t>Isaac Pearcey</t>
        </is>
      </c>
      <c r="C27" t="inlineStr">
        <is>
          <t>Avid Sport</t>
        </is>
      </c>
      <c r="D27" t="inlineStr">
        <is>
          <t>211</t>
        </is>
      </c>
      <c r="E27" s="2">
        <f>HYPERLINK("https://www.britishcycling.org.uk/points?person_id=853232&amp;year=2024&amp;type=national&amp;d=6","Results")</f>
        <v/>
      </c>
    </row>
    <row r="28">
      <c r="A28" t="inlineStr">
        <is>
          <t>27</t>
        </is>
      </c>
      <c r="B28" t="inlineStr">
        <is>
          <t>Ben Daly</t>
        </is>
      </c>
      <c r="C28" t="inlineStr">
        <is>
          <t>Lee Velo (South East London)</t>
        </is>
      </c>
      <c r="D28" t="inlineStr">
        <is>
          <t>210</t>
        </is>
      </c>
      <c r="E28" s="2">
        <f>HYPERLINK("https://www.britishcycling.org.uk/points?person_id=1040493&amp;year=2024&amp;type=national&amp;d=6","Results")</f>
        <v/>
      </c>
    </row>
    <row r="29">
      <c r="A29" t="inlineStr">
        <is>
          <t>28</t>
        </is>
      </c>
      <c r="B29" t="inlineStr">
        <is>
          <t>George Cranston</t>
        </is>
      </c>
      <c r="C29" t="inlineStr">
        <is>
          <t>Barnesbury CC</t>
        </is>
      </c>
      <c r="D29" t="inlineStr">
        <is>
          <t>208</t>
        </is>
      </c>
      <c r="E29" s="2">
        <f>HYPERLINK("https://www.britishcycling.org.uk/points?person_id=466072&amp;year=2024&amp;type=national&amp;d=6","Results")</f>
        <v/>
      </c>
    </row>
    <row r="30">
      <c r="A30" t="inlineStr">
        <is>
          <t>29</t>
        </is>
      </c>
      <c r="B30" t="inlineStr">
        <is>
          <t>Luca Mascia</t>
        </is>
      </c>
      <c r="C30" t="inlineStr">
        <is>
          <t>360VRT</t>
        </is>
      </c>
      <c r="D30" t="inlineStr">
        <is>
          <t>206</t>
        </is>
      </c>
      <c r="E30" s="2">
        <f>HYPERLINK("https://www.britishcycling.org.uk/points?person_id=678295&amp;year=2024&amp;type=national&amp;d=6","Results")</f>
        <v/>
      </c>
    </row>
    <row r="31">
      <c r="A31" t="inlineStr">
        <is>
          <t>30</t>
        </is>
      </c>
      <c r="B31" t="inlineStr">
        <is>
          <t>Patrick Neely</t>
        </is>
      </c>
      <c r="C31" t="inlineStr">
        <is>
          <t>Solihull CC</t>
        </is>
      </c>
      <c r="D31" t="inlineStr">
        <is>
          <t>206</t>
        </is>
      </c>
      <c r="E31" s="2">
        <f>HYPERLINK("https://www.britishcycling.org.uk/points?person_id=660759&amp;year=2024&amp;type=national&amp;d=6","Results")</f>
        <v/>
      </c>
    </row>
    <row r="32">
      <c r="A32" t="inlineStr">
        <is>
          <t>31</t>
        </is>
      </c>
      <c r="B32" t="inlineStr">
        <is>
          <t>Matthew Fletcher</t>
        </is>
      </c>
      <c r="C32" t="inlineStr">
        <is>
          <t>4T+ Cyclopark</t>
        </is>
      </c>
      <c r="D32" t="inlineStr">
        <is>
          <t>204</t>
        </is>
      </c>
      <c r="E32" s="2">
        <f>HYPERLINK("https://www.britishcycling.org.uk/points?person_id=296177&amp;year=2024&amp;type=national&amp;d=6","Results")</f>
        <v/>
      </c>
    </row>
    <row r="33">
      <c r="A33" t="inlineStr">
        <is>
          <t>32</t>
        </is>
      </c>
      <c r="B33" t="inlineStr">
        <is>
          <t>Louie Wilson</t>
        </is>
      </c>
      <c r="C33" t="inlineStr">
        <is>
          <t>Reifen Racing</t>
        </is>
      </c>
      <c r="D33" t="inlineStr">
        <is>
          <t>204</t>
        </is>
      </c>
      <c r="E33" s="2">
        <f>HYPERLINK("https://www.britishcycling.org.uk/points?person_id=370463&amp;year=2024&amp;type=national&amp;d=6","Results")</f>
        <v/>
      </c>
    </row>
    <row r="34">
      <c r="A34" t="inlineStr">
        <is>
          <t>33</t>
        </is>
      </c>
      <c r="B34" t="inlineStr">
        <is>
          <t>Oliver Beale</t>
        </is>
      </c>
      <c r="C34" t="inlineStr">
        <is>
          <t>Shaftesbury CC</t>
        </is>
      </c>
      <c r="D34" t="inlineStr">
        <is>
          <t>200</t>
        </is>
      </c>
      <c r="E34" s="2">
        <f>HYPERLINK("https://www.britishcycling.org.uk/points?person_id=618946&amp;year=2024&amp;type=national&amp;d=6","Results")</f>
        <v/>
      </c>
    </row>
    <row r="35">
      <c r="A35" t="inlineStr">
        <is>
          <t>34</t>
        </is>
      </c>
      <c r="B35" t="inlineStr">
        <is>
          <t>Isaac Pressley</t>
        </is>
      </c>
      <c r="C35" t="inlineStr">
        <is>
          <t>Clifton CC</t>
        </is>
      </c>
      <c r="D35" t="inlineStr">
        <is>
          <t>199</t>
        </is>
      </c>
      <c r="E35" s="2">
        <f>HYPERLINK("https://www.britishcycling.org.uk/points?person_id=535557&amp;year=2024&amp;type=national&amp;d=6","Results")</f>
        <v/>
      </c>
    </row>
    <row r="36">
      <c r="A36" t="inlineStr">
        <is>
          <t>35</t>
        </is>
      </c>
      <c r="B36" t="inlineStr">
        <is>
          <t>Gaian Hardiman</t>
        </is>
      </c>
      <c r="C36" t="inlineStr">
        <is>
          <t>The Bulls</t>
        </is>
      </c>
      <c r="D36" t="inlineStr">
        <is>
          <t>198</t>
        </is>
      </c>
      <c r="E36" s="2">
        <f>HYPERLINK("https://www.britishcycling.org.uk/points?person_id=538942&amp;year=2024&amp;type=national&amp;d=6","Results")</f>
        <v/>
      </c>
    </row>
    <row r="37">
      <c r="A37" t="inlineStr">
        <is>
          <t>36</t>
        </is>
      </c>
      <c r="B37" t="inlineStr">
        <is>
          <t>Lucas Elwell</t>
        </is>
      </c>
      <c r="C37" t="inlineStr">
        <is>
          <t>Inspire Racing Adaston Scape</t>
        </is>
      </c>
      <c r="D37" t="inlineStr">
        <is>
          <t>196</t>
        </is>
      </c>
      <c r="E37" s="2">
        <f>HYPERLINK("https://www.britishcycling.org.uk/points?person_id=405552&amp;year=2024&amp;type=national&amp;d=6","Results")</f>
        <v/>
      </c>
    </row>
    <row r="38">
      <c r="A38" t="inlineStr">
        <is>
          <t>37</t>
        </is>
      </c>
      <c r="B38" t="inlineStr">
        <is>
          <t>James Martin</t>
        </is>
      </c>
      <c r="C38" t="inlineStr">
        <is>
          <t>REVOLVE</t>
        </is>
      </c>
      <c r="D38" t="inlineStr">
        <is>
          <t>196</t>
        </is>
      </c>
      <c r="E38" s="2">
        <f>HYPERLINK("https://www.britishcycling.org.uk/points?person_id=396173&amp;year=2024&amp;type=national&amp;d=6","Results")</f>
        <v/>
      </c>
    </row>
    <row r="39">
      <c r="A39" t="inlineStr">
        <is>
          <t>38</t>
        </is>
      </c>
      <c r="B39" t="inlineStr">
        <is>
          <t>Jefferson Tear-Verweij</t>
        </is>
      </c>
      <c r="C39" t="inlineStr">
        <is>
          <t>Team Enable MI Racing</t>
        </is>
      </c>
      <c r="D39" t="inlineStr">
        <is>
          <t>188</t>
        </is>
      </c>
      <c r="E39" s="2">
        <f>HYPERLINK("https://www.britishcycling.org.uk/points?person_id=499810&amp;year=2024&amp;type=national&amp;d=6","Results")</f>
        <v/>
      </c>
    </row>
    <row r="40">
      <c r="A40" t="inlineStr">
        <is>
          <t>39</t>
        </is>
      </c>
      <c r="B40" t="inlineStr">
        <is>
          <t>Marcus Jones</t>
        </is>
      </c>
      <c r="C40" t="inlineStr">
        <is>
          <t>Kingston Wheelers CC</t>
        </is>
      </c>
      <c r="D40" t="inlineStr">
        <is>
          <t>186</t>
        </is>
      </c>
      <c r="E40" s="2">
        <f>HYPERLINK("https://www.britishcycling.org.uk/points?person_id=881784&amp;year=2024&amp;type=national&amp;d=6","Results")</f>
        <v/>
      </c>
    </row>
    <row r="41">
      <c r="A41" t="inlineStr">
        <is>
          <t>40</t>
        </is>
      </c>
      <c r="B41" t="inlineStr">
        <is>
          <t>Isaac Allaway</t>
        </is>
      </c>
      <c r="C41" t="inlineStr">
        <is>
          <t>Pedalon.co.uk</t>
        </is>
      </c>
      <c r="D41" t="inlineStr">
        <is>
          <t>182</t>
        </is>
      </c>
      <c r="E41" s="2">
        <f>HYPERLINK("https://www.britishcycling.org.uk/points?person_id=653648&amp;year=2024&amp;type=national&amp;d=6","Results")</f>
        <v/>
      </c>
    </row>
    <row r="42">
      <c r="A42" t="inlineStr">
        <is>
          <t>41</t>
        </is>
      </c>
      <c r="B42" t="inlineStr">
        <is>
          <t>Sam Budd</t>
        </is>
      </c>
      <c r="C42" t="inlineStr">
        <is>
          <t>IGNITE Race Team</t>
        </is>
      </c>
      <c r="D42" t="inlineStr">
        <is>
          <t>182</t>
        </is>
      </c>
      <c r="E42" s="2">
        <f>HYPERLINK("https://www.britishcycling.org.uk/points?person_id=676773&amp;year=2024&amp;type=national&amp;d=6","Results")</f>
        <v/>
      </c>
    </row>
    <row r="43">
      <c r="A43" t="inlineStr">
        <is>
          <t>42</t>
        </is>
      </c>
      <c r="B43" t="inlineStr">
        <is>
          <t>Sam Parker</t>
        </is>
      </c>
      <c r="C43" t="inlineStr">
        <is>
          <t>Halesowen A &amp; CC</t>
        </is>
      </c>
      <c r="D43" t="inlineStr">
        <is>
          <t>182</t>
        </is>
      </c>
      <c r="E43" s="2">
        <f>HYPERLINK("https://www.britishcycling.org.uk/points?person_id=477195&amp;year=2024&amp;type=national&amp;d=6","Results")</f>
        <v/>
      </c>
    </row>
    <row r="44">
      <c r="A44" t="inlineStr">
        <is>
          <t>43</t>
        </is>
      </c>
      <c r="B44" t="inlineStr">
        <is>
          <t>Noah Scriven</t>
        </is>
      </c>
      <c r="C44" t="inlineStr">
        <is>
          <t>Stafford Road Club</t>
        </is>
      </c>
      <c r="D44" t="inlineStr">
        <is>
          <t>177</t>
        </is>
      </c>
      <c r="E44" s="2">
        <f>HYPERLINK("https://www.britishcycling.org.uk/points?person_id=272074&amp;year=2024&amp;type=national&amp;d=6","Results")</f>
        <v/>
      </c>
    </row>
    <row r="45">
      <c r="A45" t="inlineStr">
        <is>
          <t>44</t>
        </is>
      </c>
      <c r="B45" t="inlineStr">
        <is>
          <t>Fraser Cummings</t>
        </is>
      </c>
      <c r="C45" t="inlineStr">
        <is>
          <t>360cycling</t>
        </is>
      </c>
      <c r="D45" t="inlineStr">
        <is>
          <t>176</t>
        </is>
      </c>
      <c r="E45" s="2">
        <f>HYPERLINK("https://www.britishcycling.org.uk/points?person_id=534722&amp;year=2024&amp;type=national&amp;d=6","Results")</f>
        <v/>
      </c>
    </row>
    <row r="46">
      <c r="A46" t="inlineStr">
        <is>
          <t>45</t>
        </is>
      </c>
      <c r="B46" t="inlineStr">
        <is>
          <t>Jack Morgan</t>
        </is>
      </c>
      <c r="C46" t="inlineStr">
        <is>
          <t>IGNITE Race Team</t>
        </is>
      </c>
      <c r="D46" t="inlineStr">
        <is>
          <t>174</t>
        </is>
      </c>
      <c r="E46" s="2">
        <f>HYPERLINK("https://www.britishcycling.org.uk/points?person_id=454209&amp;year=2024&amp;type=national&amp;d=6","Results")</f>
        <v/>
      </c>
    </row>
    <row r="47">
      <c r="A47" t="inlineStr">
        <is>
          <t>46</t>
        </is>
      </c>
      <c r="B47" t="inlineStr">
        <is>
          <t>Thomas Hobson</t>
        </is>
      </c>
      <c r="C47" t="inlineStr">
        <is>
          <t>Malvern Cycle Sport</t>
        </is>
      </c>
      <c r="D47" t="inlineStr">
        <is>
          <t>173</t>
        </is>
      </c>
      <c r="E47" s="2">
        <f>HYPERLINK("https://www.britishcycling.org.uk/points?person_id=563111&amp;year=2024&amp;type=national&amp;d=6","Results")</f>
        <v/>
      </c>
    </row>
    <row r="48">
      <c r="A48" t="inlineStr">
        <is>
          <t>47</t>
        </is>
      </c>
      <c r="B48" t="inlineStr">
        <is>
          <t>Hadley Davis</t>
        </is>
      </c>
      <c r="C48" t="inlineStr">
        <is>
          <t>VC Londres</t>
        </is>
      </c>
      <c r="D48" t="inlineStr">
        <is>
          <t>172</t>
        </is>
      </c>
      <c r="E48" s="2">
        <f>HYPERLINK("https://www.britishcycling.org.uk/points?person_id=893960&amp;year=2024&amp;type=national&amp;d=6","Results")</f>
        <v/>
      </c>
    </row>
    <row r="49">
      <c r="A49" t="inlineStr">
        <is>
          <t>48</t>
        </is>
      </c>
      <c r="B49" t="inlineStr">
        <is>
          <t>Benjamin Freeman</t>
        </is>
      </c>
      <c r="C49" t="inlineStr">
        <is>
          <t>Melton Olympic CC</t>
        </is>
      </c>
      <c r="D49" t="inlineStr">
        <is>
          <t>172</t>
        </is>
      </c>
      <c r="E49" s="2">
        <f>HYPERLINK("https://www.britishcycling.org.uk/points?person_id=1011853&amp;year=2024&amp;type=national&amp;d=6","Results")</f>
        <v/>
      </c>
    </row>
    <row r="50">
      <c r="A50" t="inlineStr">
        <is>
          <t>49</t>
        </is>
      </c>
      <c r="B50" t="inlineStr">
        <is>
          <t>Daniel Thompson</t>
        </is>
      </c>
      <c r="C50" t="inlineStr">
        <is>
          <t>Cleveland Wheelers CC</t>
        </is>
      </c>
      <c r="D50" t="inlineStr">
        <is>
          <t>166</t>
        </is>
      </c>
      <c r="E50" s="2">
        <f>HYPERLINK("https://www.britishcycling.org.uk/points?person_id=381833&amp;year=2024&amp;type=national&amp;d=6","Results")</f>
        <v/>
      </c>
    </row>
    <row r="51">
      <c r="A51" t="inlineStr">
        <is>
          <t>50</t>
        </is>
      </c>
      <c r="B51" t="inlineStr">
        <is>
          <t>George Connell</t>
        </is>
      </c>
      <c r="C51" t="inlineStr">
        <is>
          <t>Sotonia CC</t>
        </is>
      </c>
      <c r="D51" t="inlineStr">
        <is>
          <t>162</t>
        </is>
      </c>
      <c r="E51" s="2">
        <f>HYPERLINK("https://www.britishcycling.org.uk/points?person_id=509011&amp;year=2024&amp;type=national&amp;d=6","Results")</f>
        <v/>
      </c>
    </row>
    <row r="52">
      <c r="A52" t="inlineStr">
        <is>
          <t>51</t>
        </is>
      </c>
      <c r="B52" t="inlineStr">
        <is>
          <t>Thomas Godfrey</t>
        </is>
      </c>
      <c r="C52" t="inlineStr">
        <is>
          <t>Beds Road Race Team</t>
        </is>
      </c>
      <c r="D52" t="inlineStr">
        <is>
          <t>160</t>
        </is>
      </c>
      <c r="E52" s="2">
        <f>HYPERLINK("https://www.britishcycling.org.uk/points?person_id=408344&amp;year=2024&amp;type=national&amp;d=6","Results")</f>
        <v/>
      </c>
    </row>
    <row r="53">
      <c r="A53" t="inlineStr">
        <is>
          <t>52</t>
        </is>
      </c>
      <c r="B53" t="inlineStr">
        <is>
          <t>Alex Hart</t>
        </is>
      </c>
      <c r="C53" t="inlineStr">
        <is>
          <t>Grity Race Team</t>
        </is>
      </c>
      <c r="D53" t="inlineStr">
        <is>
          <t>160</t>
        </is>
      </c>
      <c r="E53" s="2">
        <f>HYPERLINK("https://www.britishcycling.org.uk/points?person_id=351456&amp;year=2024&amp;type=national&amp;d=6","Results")</f>
        <v/>
      </c>
    </row>
    <row r="54">
      <c r="A54" t="inlineStr">
        <is>
          <t>53</t>
        </is>
      </c>
      <c r="B54" t="inlineStr">
        <is>
          <t>Ryan Oldfield</t>
        </is>
      </c>
      <c r="C54" t="inlineStr">
        <is>
          <t>Halesowen A &amp; CC</t>
        </is>
      </c>
      <c r="D54" t="inlineStr">
        <is>
          <t>156</t>
        </is>
      </c>
      <c r="E54" s="2">
        <f>HYPERLINK("https://www.britishcycling.org.uk/points?person_id=247337&amp;year=2024&amp;type=national&amp;d=6","Results")</f>
        <v/>
      </c>
    </row>
    <row r="55">
      <c r="A55" t="inlineStr">
        <is>
          <t>54</t>
        </is>
      </c>
      <c r="B55" t="inlineStr">
        <is>
          <t>Oscar Saxton</t>
        </is>
      </c>
      <c r="C55" t="inlineStr">
        <is>
          <t>Huddersfield Star Wheelers</t>
        </is>
      </c>
      <c r="D55" t="inlineStr">
        <is>
          <t>156</t>
        </is>
      </c>
      <c r="E55" s="2">
        <f>HYPERLINK("https://www.britishcycling.org.uk/points?person_id=688717&amp;year=2024&amp;type=national&amp;d=6","Results")</f>
        <v/>
      </c>
    </row>
    <row r="56">
      <c r="A56" t="inlineStr">
        <is>
          <t>55</t>
        </is>
      </c>
      <c r="B56" t="inlineStr">
        <is>
          <t>Harry Hudson</t>
        </is>
      </c>
      <c r="C56" t="inlineStr">
        <is>
          <t>Harrogate Nova Race Team</t>
        </is>
      </c>
      <c r="D56" t="inlineStr">
        <is>
          <t>154</t>
        </is>
      </c>
      <c r="E56" s="2">
        <f>HYPERLINK("https://www.britishcycling.org.uk/points?person_id=859024&amp;year=2024&amp;type=national&amp;d=6","Results")</f>
        <v/>
      </c>
    </row>
    <row r="57">
      <c r="A57" t="inlineStr">
        <is>
          <t>56</t>
        </is>
      </c>
      <c r="B57" t="inlineStr">
        <is>
          <t>William McCristal</t>
        </is>
      </c>
      <c r="C57" t="inlineStr">
        <is>
          <t>Matlock CC</t>
        </is>
      </c>
      <c r="D57" t="inlineStr">
        <is>
          <t>154</t>
        </is>
      </c>
      <c r="E57" s="2">
        <f>HYPERLINK("https://www.britishcycling.org.uk/points?person_id=741009&amp;year=2024&amp;type=national&amp;d=6","Results")</f>
        <v/>
      </c>
    </row>
    <row r="58">
      <c r="A58" t="inlineStr">
        <is>
          <t>57</t>
        </is>
      </c>
      <c r="B58" t="inlineStr">
        <is>
          <t>Oliver Agombar</t>
        </is>
      </c>
      <c r="C58" t="inlineStr">
        <is>
          <t>Magspeed Racing</t>
        </is>
      </c>
      <c r="D58" t="inlineStr">
        <is>
          <t>152</t>
        </is>
      </c>
      <c r="E58" s="2">
        <f>HYPERLINK("https://www.britishcycling.org.uk/points?person_id=766392&amp;year=2024&amp;type=national&amp;d=6","Results")</f>
        <v/>
      </c>
    </row>
    <row r="59">
      <c r="A59" t="inlineStr">
        <is>
          <t>58</t>
        </is>
      </c>
      <c r="B59" t="inlineStr">
        <is>
          <t>Magnus Denwood</t>
        </is>
      </c>
      <c r="C59" t="inlineStr">
        <is>
          <t>Harrogate Nova Race Team</t>
        </is>
      </c>
      <c r="D59" t="inlineStr">
        <is>
          <t>150</t>
        </is>
      </c>
      <c r="E59" s="2">
        <f>HYPERLINK("https://www.britishcycling.org.uk/points?person_id=781446&amp;year=2024&amp;type=national&amp;d=6","Results")</f>
        <v/>
      </c>
    </row>
    <row r="60">
      <c r="A60" t="inlineStr">
        <is>
          <t>59</t>
        </is>
      </c>
      <c r="B60" t="inlineStr">
        <is>
          <t>James Richardson</t>
        </is>
      </c>
      <c r="C60" t="inlineStr">
        <is>
          <t>Calder Clarion CC</t>
        </is>
      </c>
      <c r="D60" t="inlineStr">
        <is>
          <t>146</t>
        </is>
      </c>
      <c r="E60" s="2">
        <f>HYPERLINK("https://www.britishcycling.org.uk/points?person_id=1052099&amp;year=2024&amp;type=national&amp;d=6","Results")</f>
        <v/>
      </c>
    </row>
    <row r="61">
      <c r="A61" t="inlineStr">
        <is>
          <t>60</t>
        </is>
      </c>
      <c r="B61" t="inlineStr">
        <is>
          <t>Freddie Dixon</t>
        </is>
      </c>
      <c r="C61" t="inlineStr">
        <is>
          <t>Hope Tech Factory Racing</t>
        </is>
      </c>
      <c r="D61" t="inlineStr">
        <is>
          <t>144</t>
        </is>
      </c>
      <c r="E61" s="2">
        <f>HYPERLINK("https://www.britishcycling.org.uk/points?person_id=983294&amp;year=2024&amp;type=national&amp;d=6","Results")</f>
        <v/>
      </c>
    </row>
    <row r="62">
      <c r="A62" t="inlineStr">
        <is>
          <t>61</t>
        </is>
      </c>
      <c r="B62" t="inlineStr">
        <is>
          <t>Hugh Bird</t>
        </is>
      </c>
      <c r="C62" t="inlineStr">
        <is>
          <t>Cog Set Papyrus Racing Club</t>
        </is>
      </c>
      <c r="D62" t="inlineStr">
        <is>
          <t>138</t>
        </is>
      </c>
      <c r="E62" s="2">
        <f>HYPERLINK("https://www.britishcycling.org.uk/points?person_id=1012772&amp;year=2024&amp;type=national&amp;d=6","Results")</f>
        <v/>
      </c>
    </row>
    <row r="63">
      <c r="A63" t="inlineStr">
        <is>
          <t>62</t>
        </is>
      </c>
      <c r="B63" t="inlineStr">
        <is>
          <t>Charlie Coad-Bell</t>
        </is>
      </c>
      <c r="C63" t="inlineStr">
        <is>
          <t>St Ives CC</t>
        </is>
      </c>
      <c r="D63" t="inlineStr">
        <is>
          <t>138</t>
        </is>
      </c>
      <c r="E63" s="2">
        <f>HYPERLINK("https://www.britishcycling.org.uk/points?person_id=957433&amp;year=2024&amp;type=national&amp;d=6","Results")</f>
        <v/>
      </c>
    </row>
    <row r="64">
      <c r="A64" t="inlineStr">
        <is>
          <t>63</t>
        </is>
      </c>
      <c r="B64" t="inlineStr">
        <is>
          <t>Seth Jackson</t>
        </is>
      </c>
      <c r="C64" t="inlineStr">
        <is>
          <t>Shibden Cycling Club</t>
        </is>
      </c>
      <c r="D64" t="inlineStr">
        <is>
          <t>138</t>
        </is>
      </c>
      <c r="E64" s="2">
        <f>HYPERLINK("https://www.britishcycling.org.uk/points?person_id=422790&amp;year=2024&amp;type=national&amp;d=6","Results")</f>
        <v/>
      </c>
    </row>
    <row r="65">
      <c r="A65" t="inlineStr">
        <is>
          <t>64</t>
        </is>
      </c>
      <c r="B65" t="inlineStr">
        <is>
          <t>Ross Eastaugh</t>
        </is>
      </c>
      <c r="C65" t="inlineStr">
        <is>
          <t>Scotia Offroad Race Team (SORT)</t>
        </is>
      </c>
      <c r="D65" t="inlineStr">
        <is>
          <t>136</t>
        </is>
      </c>
      <c r="E65" s="2">
        <f>HYPERLINK("https://www.britishcycling.org.uk/points?person_id=800216&amp;year=2024&amp;type=national&amp;d=6","Results")</f>
        <v/>
      </c>
    </row>
    <row r="66">
      <c r="A66" t="inlineStr">
        <is>
          <t>65</t>
        </is>
      </c>
      <c r="B66" t="inlineStr">
        <is>
          <t>Mak Larkin</t>
        </is>
      </c>
      <c r="C66" t="inlineStr">
        <is>
          <t>trainSharp Development Team</t>
        </is>
      </c>
      <c r="D66" t="inlineStr">
        <is>
          <t>136</t>
        </is>
      </c>
      <c r="E66" s="2">
        <f>HYPERLINK("https://www.britishcycling.org.uk/points?person_id=604670&amp;year=2024&amp;type=national&amp;d=6","Results")</f>
        <v/>
      </c>
    </row>
    <row r="67">
      <c r="A67" t="inlineStr">
        <is>
          <t>66</t>
        </is>
      </c>
      <c r="B67" t="inlineStr">
        <is>
          <t>Samuel Brook</t>
        </is>
      </c>
      <c r="C67" t="inlineStr">
        <is>
          <t>West Suffolk Wheelers</t>
        </is>
      </c>
      <c r="D67" t="inlineStr">
        <is>
          <t>135</t>
        </is>
      </c>
      <c r="E67" s="2">
        <f>HYPERLINK("https://www.britishcycling.org.uk/points?person_id=616119&amp;year=2024&amp;type=national&amp;d=6","Results")</f>
        <v/>
      </c>
    </row>
    <row r="68">
      <c r="A68" t="inlineStr">
        <is>
          <t>67</t>
        </is>
      </c>
      <c r="B68" t="inlineStr">
        <is>
          <t>Miles Horner</t>
        </is>
      </c>
      <c r="C68" t="inlineStr">
        <is>
          <t>IGNITE Race Team</t>
        </is>
      </c>
      <c r="D68" t="inlineStr">
        <is>
          <t>134</t>
        </is>
      </c>
      <c r="E68" s="2">
        <f>HYPERLINK("https://www.britishcycling.org.uk/points?person_id=753385&amp;year=2024&amp;type=national&amp;d=6","Results")</f>
        <v/>
      </c>
    </row>
    <row r="69">
      <c r="A69" t="inlineStr">
        <is>
          <t>68</t>
        </is>
      </c>
      <c r="B69" t="inlineStr">
        <is>
          <t>Daniel Jones</t>
        </is>
      </c>
      <c r="C69" t="inlineStr">
        <is>
          <t>Lyme RC</t>
        </is>
      </c>
      <c r="D69" t="inlineStr">
        <is>
          <t>134</t>
        </is>
      </c>
      <c r="E69" s="2">
        <f>HYPERLINK("https://www.britishcycling.org.uk/points?person_id=537028&amp;year=2024&amp;type=national&amp;d=6","Results")</f>
        <v/>
      </c>
    </row>
    <row r="70">
      <c r="A70" t="inlineStr">
        <is>
          <t>69</t>
        </is>
      </c>
      <c r="B70" t="inlineStr">
        <is>
          <t>Lochlan Dyer</t>
        </is>
      </c>
      <c r="C70" t="inlineStr">
        <is>
          <t>Lee Valley Youth Cycling Club</t>
        </is>
      </c>
      <c r="D70" t="inlineStr">
        <is>
          <t>132</t>
        </is>
      </c>
      <c r="E70" s="2">
        <f>HYPERLINK("https://www.britishcycling.org.uk/points?person_id=679021&amp;year=2024&amp;type=national&amp;d=6","Results")</f>
        <v/>
      </c>
    </row>
    <row r="71">
      <c r="A71" t="inlineStr">
        <is>
          <t>70</t>
        </is>
      </c>
      <c r="B71" t="inlineStr">
        <is>
          <t>Arthur Limb</t>
        </is>
      </c>
      <c r="C71" t="inlineStr">
        <is>
          <t>Matlock CC</t>
        </is>
      </c>
      <c r="D71" t="inlineStr">
        <is>
          <t>132</t>
        </is>
      </c>
      <c r="E71" s="2">
        <f>HYPERLINK("https://www.britishcycling.org.uk/points?person_id=613155&amp;year=2024&amp;type=national&amp;d=6","Results")</f>
        <v/>
      </c>
    </row>
    <row r="72">
      <c r="A72" t="inlineStr">
        <is>
          <t>71</t>
        </is>
      </c>
      <c r="B72" t="inlineStr">
        <is>
          <t>Leon Atkins</t>
        </is>
      </c>
      <c r="C72" t="inlineStr">
        <is>
          <t>Ribble - Verge Sport</t>
        </is>
      </c>
      <c r="D72" t="inlineStr">
        <is>
          <t>130</t>
        </is>
      </c>
      <c r="E72" s="2">
        <f>HYPERLINK("https://www.britishcycling.org.uk/points?person_id=585004&amp;year=2024&amp;type=national&amp;d=6","Results")</f>
        <v/>
      </c>
    </row>
    <row r="73">
      <c r="A73" t="inlineStr">
        <is>
          <t>72</t>
        </is>
      </c>
      <c r="B73" t="inlineStr">
        <is>
          <t>Daniel Ward</t>
        </is>
      </c>
      <c r="C73" t="inlineStr">
        <is>
          <t>ROTOR Race Team</t>
        </is>
      </c>
      <c r="D73" t="inlineStr">
        <is>
          <t>124</t>
        </is>
      </c>
      <c r="E73" s="2">
        <f>HYPERLINK("https://www.britishcycling.org.uk/points?person_id=630361&amp;year=2024&amp;type=national&amp;d=6","Results")</f>
        <v/>
      </c>
    </row>
    <row r="74">
      <c r="A74" t="inlineStr">
        <is>
          <t>73</t>
        </is>
      </c>
      <c r="B74" t="inlineStr">
        <is>
          <t>Henry Birchall</t>
        </is>
      </c>
      <c r="C74" t="inlineStr">
        <is>
          <t>1st Chard Whls</t>
        </is>
      </c>
      <c r="D74" t="inlineStr">
        <is>
          <t>120</t>
        </is>
      </c>
      <c r="E74" s="2">
        <f>HYPERLINK("https://www.britishcycling.org.uk/points?person_id=690394&amp;year=2024&amp;type=national&amp;d=6","Results")</f>
        <v/>
      </c>
    </row>
    <row r="75">
      <c r="A75" t="inlineStr">
        <is>
          <t>74</t>
        </is>
      </c>
      <c r="B75" t="inlineStr">
        <is>
          <t>Harrison Warner</t>
        </is>
      </c>
      <c r="C75" t="inlineStr">
        <is>
          <t>Velo Club Venta</t>
        </is>
      </c>
      <c r="D75" t="inlineStr">
        <is>
          <t>120</t>
        </is>
      </c>
      <c r="E75" s="2">
        <f>HYPERLINK("https://www.britishcycling.org.uk/points?person_id=1028766&amp;year=2024&amp;type=national&amp;d=6","Results")</f>
        <v/>
      </c>
    </row>
    <row r="76">
      <c r="A76" t="inlineStr">
        <is>
          <t>75</t>
        </is>
      </c>
      <c r="B76" t="inlineStr">
        <is>
          <t>Alexander Sutton</t>
        </is>
      </c>
      <c r="C76" t="inlineStr">
        <is>
          <t>360cycling</t>
        </is>
      </c>
      <c r="D76" t="inlineStr">
        <is>
          <t>116</t>
        </is>
      </c>
      <c r="E76" s="2">
        <f>HYPERLINK("https://www.britishcycling.org.uk/points?person_id=446250&amp;year=2024&amp;type=national&amp;d=6","Results")</f>
        <v/>
      </c>
    </row>
    <row r="77">
      <c r="A77" t="inlineStr">
        <is>
          <t>76</t>
        </is>
      </c>
      <c r="B77" t="inlineStr">
        <is>
          <t>Elliot English</t>
        </is>
      </c>
      <c r="C77" t="inlineStr">
        <is>
          <t>Sheffield Youth Cycling Club</t>
        </is>
      </c>
      <c r="D77" t="inlineStr">
        <is>
          <t>113</t>
        </is>
      </c>
      <c r="E77" s="2">
        <f>HYPERLINK("https://www.britishcycling.org.uk/points?person_id=1131525&amp;year=2024&amp;type=national&amp;d=6","Results")</f>
        <v/>
      </c>
    </row>
    <row r="78">
      <c r="A78" t="inlineStr">
        <is>
          <t>77</t>
        </is>
      </c>
      <c r="B78" t="inlineStr">
        <is>
          <t>Theo Hester</t>
        </is>
      </c>
      <c r="C78" t="inlineStr">
        <is>
          <t>Avid Sport</t>
        </is>
      </c>
      <c r="D78" t="inlineStr">
        <is>
          <t>112</t>
        </is>
      </c>
      <c r="E78" s="2">
        <f>HYPERLINK("https://www.britishcycling.org.uk/points?person_id=1009533&amp;year=2024&amp;type=national&amp;d=6","Results")</f>
        <v/>
      </c>
    </row>
    <row r="79">
      <c r="A79" t="inlineStr">
        <is>
          <t>78</t>
        </is>
      </c>
      <c r="B79" t="inlineStr">
        <is>
          <t>Dillon Preece</t>
        </is>
      </c>
      <c r="C79" t="inlineStr">
        <is>
          <t>Shibden Cycling Club</t>
        </is>
      </c>
      <c r="D79" t="inlineStr">
        <is>
          <t>110</t>
        </is>
      </c>
      <c r="E79" s="2">
        <f>HYPERLINK("https://www.britishcycling.org.uk/points?person_id=292890&amp;year=2024&amp;type=national&amp;d=6","Results")</f>
        <v/>
      </c>
    </row>
    <row r="80">
      <c r="A80" t="inlineStr">
        <is>
          <t>79</t>
        </is>
      </c>
      <c r="B80" t="inlineStr">
        <is>
          <t>Nathan Strickett</t>
        </is>
      </c>
      <c r="C80" t="inlineStr">
        <is>
          <t>Penge Cycle Club</t>
        </is>
      </c>
      <c r="D80" t="inlineStr">
        <is>
          <t>110</t>
        </is>
      </c>
      <c r="E80" s="2">
        <f>HYPERLINK("https://www.britishcycling.org.uk/points?person_id=1139321&amp;year=2024&amp;type=national&amp;d=6","Results")</f>
        <v/>
      </c>
    </row>
    <row r="81">
      <c r="A81" t="inlineStr">
        <is>
          <t>80</t>
        </is>
      </c>
      <c r="B81" t="inlineStr">
        <is>
          <t>Patrick Mannion</t>
        </is>
      </c>
      <c r="C81" t="inlineStr">
        <is>
          <t>Shibden Cycling Club</t>
        </is>
      </c>
      <c r="D81" t="inlineStr">
        <is>
          <t>108</t>
        </is>
      </c>
      <c r="E81" s="2">
        <f>HYPERLINK("https://www.britishcycling.org.uk/points?person_id=472747&amp;year=2024&amp;type=national&amp;d=6","Results")</f>
        <v/>
      </c>
    </row>
    <row r="82">
      <c r="A82" t="inlineStr">
        <is>
          <t>81</t>
        </is>
      </c>
      <c r="B82" t="inlineStr">
        <is>
          <t>Thomas Roodhouse</t>
        </is>
      </c>
      <c r="C82" t="inlineStr">
        <is>
          <t>Wheal Velocity</t>
        </is>
      </c>
      <c r="D82" t="inlineStr">
        <is>
          <t>108</t>
        </is>
      </c>
      <c r="E82" s="2">
        <f>HYPERLINK("https://www.britishcycling.org.uk/points?person_id=527261&amp;year=2024&amp;type=national&amp;d=6","Results")</f>
        <v/>
      </c>
    </row>
    <row r="83">
      <c r="A83" t="inlineStr">
        <is>
          <t>82</t>
        </is>
      </c>
      <c r="B83" t="inlineStr">
        <is>
          <t>Edward Lindsay</t>
        </is>
      </c>
      <c r="C83" t="inlineStr">
        <is>
          <t>Team Andrew Allan Architecture</t>
        </is>
      </c>
      <c r="D83" t="inlineStr">
        <is>
          <t>106</t>
        </is>
      </c>
      <c r="E83" s="2">
        <f>HYPERLINK("https://www.britishcycling.org.uk/points?person_id=852561&amp;year=2024&amp;type=national&amp;d=6","Results")</f>
        <v/>
      </c>
    </row>
    <row r="84">
      <c r="A84" t="inlineStr">
        <is>
          <t>83</t>
        </is>
      </c>
      <c r="B84" t="inlineStr">
        <is>
          <t>Milo Clarke</t>
        </is>
      </c>
      <c r="C84" t="inlineStr">
        <is>
          <t>Preston Park Youth CC (PPYCC)</t>
        </is>
      </c>
      <c r="D84" t="inlineStr">
        <is>
          <t>104</t>
        </is>
      </c>
      <c r="E84" s="2">
        <f>HYPERLINK("https://www.britishcycling.org.uk/points?person_id=885904&amp;year=2024&amp;type=national&amp;d=6","Results")</f>
        <v/>
      </c>
    </row>
    <row r="85">
      <c r="A85" t="inlineStr">
        <is>
          <t>84</t>
        </is>
      </c>
      <c r="B85" t="inlineStr">
        <is>
          <t>Jem Henderson</t>
        </is>
      </c>
      <c r="C85" t="inlineStr">
        <is>
          <t>Hetton Hawks Cycling Club</t>
        </is>
      </c>
      <c r="D85" t="inlineStr">
        <is>
          <t>98</t>
        </is>
      </c>
      <c r="E85" s="2">
        <f>HYPERLINK("https://www.britishcycling.org.uk/points?person_id=241827&amp;year=2024&amp;type=national&amp;d=6","Results")</f>
        <v/>
      </c>
    </row>
    <row r="86">
      <c r="A86" t="inlineStr">
        <is>
          <t>85</t>
        </is>
      </c>
      <c r="B86" t="inlineStr">
        <is>
          <t>Samuel Ridgment</t>
        </is>
      </c>
      <c r="C86" t="inlineStr">
        <is>
          <t>Sotonia CC</t>
        </is>
      </c>
      <c r="D86" t="inlineStr">
        <is>
          <t>98</t>
        </is>
      </c>
      <c r="E86" s="2">
        <f>HYPERLINK("https://www.britishcycling.org.uk/points?person_id=566386&amp;year=2024&amp;type=national&amp;d=6","Results")</f>
        <v/>
      </c>
    </row>
    <row r="87">
      <c r="A87" t="inlineStr">
        <is>
          <t>86</t>
        </is>
      </c>
      <c r="B87" t="inlineStr">
        <is>
          <t>Joe Reed</t>
        </is>
      </c>
      <c r="C87" t="inlineStr">
        <is>
          <t>Inspire Racing Adaston Scape</t>
        </is>
      </c>
      <c r="D87" t="inlineStr">
        <is>
          <t>96</t>
        </is>
      </c>
      <c r="E87" s="2">
        <f>HYPERLINK("https://www.britishcycling.org.uk/points?person_id=1136008&amp;year=2024&amp;type=national&amp;d=6","Results")</f>
        <v/>
      </c>
    </row>
    <row r="88">
      <c r="A88" t="inlineStr">
        <is>
          <t>87</t>
        </is>
      </c>
      <c r="B88" t="inlineStr">
        <is>
          <t>Thomas Heap</t>
        </is>
      </c>
      <c r="C88" t="inlineStr">
        <is>
          <t>Hillingdon Slipstreamers</t>
        </is>
      </c>
      <c r="D88" t="inlineStr">
        <is>
          <t>94</t>
        </is>
      </c>
      <c r="E88" s="2">
        <f>HYPERLINK("https://www.britishcycling.org.uk/points?person_id=383839&amp;year=2024&amp;type=national&amp;d=6","Results")</f>
        <v/>
      </c>
    </row>
    <row r="89">
      <c r="A89" t="inlineStr">
        <is>
          <t>88</t>
        </is>
      </c>
      <c r="B89" t="inlineStr">
        <is>
          <t>Joseph Laidler</t>
        </is>
      </c>
      <c r="C89" t="inlineStr">
        <is>
          <t>Stafford Road Club</t>
        </is>
      </c>
      <c r="D89" t="inlineStr">
        <is>
          <t>93</t>
        </is>
      </c>
      <c r="E89" s="2">
        <f>HYPERLINK("https://www.britishcycling.org.uk/points?person_id=1032117&amp;year=2024&amp;type=national&amp;d=6","Results")</f>
        <v/>
      </c>
    </row>
    <row r="90">
      <c r="A90" t="inlineStr">
        <is>
          <t>89</t>
        </is>
      </c>
      <c r="B90" t="inlineStr">
        <is>
          <t>Samuel Taylor</t>
        </is>
      </c>
      <c r="C90" t="inlineStr">
        <is>
          <t>Sheffield Youth Cycling Club</t>
        </is>
      </c>
      <c r="D90" t="inlineStr">
        <is>
          <t>93</t>
        </is>
      </c>
      <c r="E90" s="2">
        <f>HYPERLINK("https://www.britishcycling.org.uk/points?person_id=235327&amp;year=2024&amp;type=national&amp;d=6","Results")</f>
        <v/>
      </c>
    </row>
    <row r="91">
      <c r="A91" t="inlineStr">
        <is>
          <t>90</t>
        </is>
      </c>
      <c r="B91" t="inlineStr">
        <is>
          <t>Iwan Froley</t>
        </is>
      </c>
      <c r="C91" t="inlineStr">
        <is>
          <t>Maindy Flyers CC</t>
        </is>
      </c>
      <c r="D91" t="inlineStr">
        <is>
          <t>90</t>
        </is>
      </c>
      <c r="E91" s="2">
        <f>HYPERLINK("https://www.britishcycling.org.uk/points?person_id=1029577&amp;year=2024&amp;type=national&amp;d=6","Results")</f>
        <v/>
      </c>
    </row>
    <row r="92">
      <c r="A92" t="inlineStr">
        <is>
          <t>91</t>
        </is>
      </c>
      <c r="B92" t="inlineStr">
        <is>
          <t>William Barlow</t>
        </is>
      </c>
      <c r="C92" t="inlineStr">
        <is>
          <t>Shaftesbury CC</t>
        </is>
      </c>
      <c r="D92" t="inlineStr">
        <is>
          <t>88</t>
        </is>
      </c>
      <c r="E92" s="2">
        <f>HYPERLINK("https://www.britishcycling.org.uk/points?person_id=734479&amp;year=2024&amp;type=national&amp;d=6","Results")</f>
        <v/>
      </c>
    </row>
    <row r="93">
      <c r="A93" t="inlineStr">
        <is>
          <t>92</t>
        </is>
      </c>
      <c r="B93" t="inlineStr">
        <is>
          <t>Jarryd Claydon Folley</t>
        </is>
      </c>
      <c r="C93" t="inlineStr">
        <is>
          <t>Hillingdon Slipstreamers</t>
        </is>
      </c>
      <c r="D93" t="inlineStr">
        <is>
          <t>86</t>
        </is>
      </c>
      <c r="E93" s="2">
        <f>HYPERLINK("https://www.britishcycling.org.uk/points?person_id=944952&amp;year=2024&amp;type=national&amp;d=6","Results")</f>
        <v/>
      </c>
    </row>
    <row r="94">
      <c r="A94" t="inlineStr">
        <is>
          <t>93</t>
        </is>
      </c>
      <c r="B94" t="inlineStr">
        <is>
          <t>Ethan Mitchell-Clarke</t>
        </is>
      </c>
      <c r="C94" t="inlineStr">
        <is>
          <t>Rockingham Forest Whls</t>
        </is>
      </c>
      <c r="D94" t="inlineStr">
        <is>
          <t>86</t>
        </is>
      </c>
      <c r="E94" s="2">
        <f>HYPERLINK("https://www.britishcycling.org.uk/points?person_id=1133920&amp;year=2024&amp;type=national&amp;d=6","Results")</f>
        <v/>
      </c>
    </row>
    <row r="95">
      <c r="A95" t="inlineStr">
        <is>
          <t>94</t>
        </is>
      </c>
      <c r="B95" t="inlineStr">
        <is>
          <t>Oliver Oldham</t>
        </is>
      </c>
      <c r="C95" t="inlineStr">
        <is>
          <t>Barrow Central Wheelers</t>
        </is>
      </c>
      <c r="D95" t="inlineStr">
        <is>
          <t>86</t>
        </is>
      </c>
      <c r="E95" s="2">
        <f>HYPERLINK("https://www.britishcycling.org.uk/points?person_id=562389&amp;year=2024&amp;type=national&amp;d=6","Results")</f>
        <v/>
      </c>
    </row>
    <row r="96">
      <c r="A96" t="inlineStr">
        <is>
          <t>95</t>
        </is>
      </c>
      <c r="B96" t="inlineStr">
        <is>
          <t>Thomas Roberts</t>
        </is>
      </c>
      <c r="C96" t="inlineStr">
        <is>
          <t>Team Milton Keynes</t>
        </is>
      </c>
      <c r="D96" t="inlineStr">
        <is>
          <t>86</t>
        </is>
      </c>
      <c r="E96" s="2">
        <f>HYPERLINK("https://www.britishcycling.org.uk/points?person_id=765034&amp;year=2024&amp;type=national&amp;d=6","Results")</f>
        <v/>
      </c>
    </row>
    <row r="97">
      <c r="A97" t="inlineStr">
        <is>
          <t>96</t>
        </is>
      </c>
      <c r="B97" t="inlineStr">
        <is>
          <t>Benjamin Massey</t>
        </is>
      </c>
      <c r="C97" t="inlineStr">
        <is>
          <t>West Lothian Clarion CC</t>
        </is>
      </c>
      <c r="D97" t="inlineStr">
        <is>
          <t>80</t>
        </is>
      </c>
      <c r="E97" s="2">
        <f>HYPERLINK("https://www.britishcycling.org.uk/points?person_id=314338&amp;year=2024&amp;type=national&amp;d=6","Results")</f>
        <v/>
      </c>
    </row>
    <row r="98">
      <c r="A98" t="inlineStr">
        <is>
          <t>97</t>
        </is>
      </c>
      <c r="B98" t="inlineStr">
        <is>
          <t>Matthew McCleery</t>
        </is>
      </c>
      <c r="C98" t="inlineStr">
        <is>
          <t>Dunfermline CC</t>
        </is>
      </c>
      <c r="D98" t="inlineStr">
        <is>
          <t>80</t>
        </is>
      </c>
      <c r="E98" s="2">
        <f>HYPERLINK("https://www.britishcycling.org.uk/points?person_id=443211&amp;year=2024&amp;type=national&amp;d=6","Results")</f>
        <v/>
      </c>
    </row>
    <row r="99">
      <c r="A99" t="inlineStr">
        <is>
          <t>98</t>
        </is>
      </c>
      <c r="B99" t="inlineStr">
        <is>
          <t>William Hutchinson</t>
        </is>
      </c>
      <c r="C99" t="inlineStr">
        <is>
          <t>Derby Mercury RC</t>
        </is>
      </c>
      <c r="D99" t="inlineStr">
        <is>
          <t>79</t>
        </is>
      </c>
      <c r="E99" s="2">
        <f>HYPERLINK("https://www.britishcycling.org.uk/points?person_id=735230&amp;year=2024&amp;type=national&amp;d=6","Results")</f>
        <v/>
      </c>
    </row>
    <row r="100">
      <c r="A100" t="inlineStr">
        <is>
          <t>99</t>
        </is>
      </c>
      <c r="B100" t="inlineStr">
        <is>
          <t>Lachlan MacLennan</t>
        </is>
      </c>
      <c r="C100" t="inlineStr">
        <is>
          <t>Wadebridge Coasters Cycling Club</t>
        </is>
      </c>
      <c r="D100" t="inlineStr">
        <is>
          <t>78</t>
        </is>
      </c>
      <c r="E100" s="2">
        <f>HYPERLINK("https://www.britishcycling.org.uk/points?person_id=782015&amp;year=2024&amp;type=national&amp;d=6","Results")</f>
        <v/>
      </c>
    </row>
    <row r="101">
      <c r="A101" t="inlineStr">
        <is>
          <t>100</t>
        </is>
      </c>
      <c r="B101" t="inlineStr">
        <is>
          <t>William Birchall</t>
        </is>
      </c>
      <c r="C101" t="inlineStr">
        <is>
          <t>1st Chard Whls</t>
        </is>
      </c>
      <c r="D101" t="inlineStr">
        <is>
          <t>76</t>
        </is>
      </c>
      <c r="E101" s="2">
        <f>HYPERLINK("https://www.britishcycling.org.uk/points?person_id=699413&amp;year=2024&amp;type=national&amp;d=6","Results")</f>
        <v/>
      </c>
    </row>
    <row r="102">
      <c r="A102" t="inlineStr">
        <is>
          <t>101</t>
        </is>
      </c>
      <c r="B102" t="inlineStr">
        <is>
          <t>Euan Cook</t>
        </is>
      </c>
      <c r="C102" t="inlineStr">
        <is>
          <t>Calder Clarion CC</t>
        </is>
      </c>
      <c r="D102" t="inlineStr">
        <is>
          <t>76</t>
        </is>
      </c>
      <c r="E102" s="2">
        <f>HYPERLINK("https://www.britishcycling.org.uk/points?person_id=672067&amp;year=2024&amp;type=national&amp;d=6","Results")</f>
        <v/>
      </c>
    </row>
    <row r="103">
      <c r="A103" t="inlineStr">
        <is>
          <t>102</t>
        </is>
      </c>
      <c r="B103" t="inlineStr">
        <is>
          <t>Ewan McGhee</t>
        </is>
      </c>
      <c r="C103" t="inlineStr">
        <is>
          <t>C and N Cycles RT</t>
        </is>
      </c>
      <c r="D103" t="inlineStr">
        <is>
          <t>74</t>
        </is>
      </c>
      <c r="E103" s="2">
        <f>HYPERLINK("https://www.britishcycling.org.uk/points?person_id=736938&amp;year=2024&amp;type=national&amp;d=6","Results")</f>
        <v/>
      </c>
    </row>
    <row r="104">
      <c r="A104" t="inlineStr">
        <is>
          <t>103</t>
        </is>
      </c>
      <c r="B104" t="inlineStr">
        <is>
          <t>Raphael Jacquemet-Ross</t>
        </is>
      </c>
      <c r="C104" t="inlineStr">
        <is>
          <t>West Lothian Clarion CC</t>
        </is>
      </c>
      <c r="D104" t="inlineStr">
        <is>
          <t>72</t>
        </is>
      </c>
      <c r="E104" s="2">
        <f>HYPERLINK("https://www.britishcycling.org.uk/points?person_id=1084987&amp;year=2024&amp;type=national&amp;d=6","Results")</f>
        <v/>
      </c>
    </row>
    <row r="105">
      <c r="A105" t="inlineStr">
        <is>
          <t>104</t>
        </is>
      </c>
      <c r="B105" t="inlineStr">
        <is>
          <t>Henry O'Brien</t>
        </is>
      </c>
      <c r="C105" t="inlineStr">
        <is>
          <t>Scotia Offroad Race Team (SORT)</t>
        </is>
      </c>
      <c r="D105" t="inlineStr">
        <is>
          <t>72</t>
        </is>
      </c>
      <c r="E105" s="2">
        <f>HYPERLINK("https://www.britishcycling.org.uk/points?person_id=449911&amp;year=2024&amp;type=national&amp;d=6","Results")</f>
        <v/>
      </c>
    </row>
    <row r="106">
      <c r="A106" t="inlineStr">
        <is>
          <t>105</t>
        </is>
      </c>
      <c r="B106" t="inlineStr">
        <is>
          <t>Ben Jones</t>
        </is>
      </c>
      <c r="C106" t="inlineStr">
        <is>
          <t>Lee Valley Youth Cycling Club</t>
        </is>
      </c>
      <c r="D106" t="inlineStr">
        <is>
          <t>70</t>
        </is>
      </c>
      <c r="E106" s="2">
        <f>HYPERLINK("https://www.britishcycling.org.uk/points?person_id=758179&amp;year=2024&amp;type=national&amp;d=6","Results")</f>
        <v/>
      </c>
    </row>
    <row r="107">
      <c r="A107" t="inlineStr">
        <is>
          <t>106</t>
        </is>
      </c>
      <c r="B107" t="inlineStr">
        <is>
          <t>Thomas Styles</t>
        </is>
      </c>
      <c r="C107" t="inlineStr">
        <is>
          <t>Team Milton Keynes</t>
        </is>
      </c>
      <c r="D107" t="inlineStr">
        <is>
          <t>70</t>
        </is>
      </c>
      <c r="E107" s="2">
        <f>HYPERLINK("https://www.britishcycling.org.uk/points?person_id=840530&amp;year=2024&amp;type=national&amp;d=6","Results")</f>
        <v/>
      </c>
    </row>
    <row r="108">
      <c r="A108" t="inlineStr">
        <is>
          <t>107</t>
        </is>
      </c>
      <c r="B108" t="inlineStr">
        <is>
          <t>Montague Flavell</t>
        </is>
      </c>
      <c r="C108" t="inlineStr">
        <is>
          <t>Sotonia CC</t>
        </is>
      </c>
      <c r="D108" t="inlineStr">
        <is>
          <t>66</t>
        </is>
      </c>
      <c r="E108" s="2">
        <f>HYPERLINK("https://www.britishcycling.org.uk/points?person_id=804283&amp;year=2024&amp;type=national&amp;d=6","Results")</f>
        <v/>
      </c>
    </row>
    <row r="109">
      <c r="A109" t="inlineStr">
        <is>
          <t>108</t>
        </is>
      </c>
      <c r="B109" t="inlineStr">
        <is>
          <t>Maxwell Oakley</t>
        </is>
      </c>
      <c r="C109" t="inlineStr">
        <is>
          <t>REVOLVE</t>
        </is>
      </c>
      <c r="D109" t="inlineStr">
        <is>
          <t>65</t>
        </is>
      </c>
      <c r="E109" s="2">
        <f>HYPERLINK("https://www.britishcycling.org.uk/points?person_id=844433&amp;year=2024&amp;type=national&amp;d=6","Results")</f>
        <v/>
      </c>
    </row>
    <row r="110">
      <c r="A110" t="inlineStr">
        <is>
          <t>109</t>
        </is>
      </c>
      <c r="B110" t="inlineStr">
        <is>
          <t>Cypher Tindell</t>
        </is>
      </c>
      <c r="C110" t="inlineStr">
        <is>
          <t>Sprockets Cycle Club</t>
        </is>
      </c>
      <c r="D110" t="inlineStr">
        <is>
          <t>65</t>
        </is>
      </c>
      <c r="E110" s="2">
        <f>HYPERLINK("https://www.britishcycling.org.uk/points?person_id=696281&amp;year=2024&amp;type=national&amp;d=6","Results")</f>
        <v/>
      </c>
    </row>
    <row r="111">
      <c r="A111" t="inlineStr">
        <is>
          <t>110</t>
        </is>
      </c>
      <c r="B111" t="inlineStr">
        <is>
          <t>Daniel Grace</t>
        </is>
      </c>
      <c r="C111" t="inlineStr">
        <is>
          <t>Magspeed Racing</t>
        </is>
      </c>
      <c r="D111" t="inlineStr">
        <is>
          <t>64</t>
        </is>
      </c>
      <c r="E111" s="2">
        <f>HYPERLINK("https://www.britishcycling.org.uk/points?person_id=1126385&amp;year=2024&amp;type=national&amp;d=6","Results")</f>
        <v/>
      </c>
    </row>
    <row r="112">
      <c r="A112" t="inlineStr">
        <is>
          <t>111</t>
        </is>
      </c>
      <c r="B112" t="inlineStr">
        <is>
          <t>Charlie Hoyle</t>
        </is>
      </c>
      <c r="C112" t="inlineStr">
        <is>
          <t>Shibden Apex RT</t>
        </is>
      </c>
      <c r="D112" t="inlineStr">
        <is>
          <t>64</t>
        </is>
      </c>
      <c r="E112" s="2">
        <f>HYPERLINK("https://www.britishcycling.org.uk/points?person_id=452397&amp;year=2024&amp;type=national&amp;d=6","Results")</f>
        <v/>
      </c>
    </row>
    <row r="113">
      <c r="A113" t="inlineStr">
        <is>
          <t>112</t>
        </is>
      </c>
      <c r="B113" t="inlineStr">
        <is>
          <t>Kyran Levey</t>
        </is>
      </c>
      <c r="C113" t="inlineStr">
        <is>
          <t>IGNITE Race Team</t>
        </is>
      </c>
      <c r="D113" t="inlineStr">
        <is>
          <t>63</t>
        </is>
      </c>
      <c r="E113" s="2">
        <f>HYPERLINK("https://www.britishcycling.org.uk/points?person_id=655132&amp;year=2024&amp;type=national&amp;d=6","Results")</f>
        <v/>
      </c>
    </row>
    <row r="114">
      <c r="A114" t="inlineStr">
        <is>
          <t>113</t>
        </is>
      </c>
      <c r="B114" t="inlineStr">
        <is>
          <t>Michael Swindells</t>
        </is>
      </c>
      <c r="C114" t="inlineStr">
        <is>
          <t>Iceni Velo</t>
        </is>
      </c>
      <c r="D114" t="inlineStr">
        <is>
          <t>62</t>
        </is>
      </c>
      <c r="E114" s="2">
        <f>HYPERLINK("https://www.britishcycling.org.uk/points?person_id=536620&amp;year=2024&amp;type=national&amp;d=6","Results")</f>
        <v/>
      </c>
    </row>
    <row r="115">
      <c r="A115" t="inlineStr">
        <is>
          <t>114</t>
        </is>
      </c>
      <c r="B115" t="inlineStr">
        <is>
          <t>Logan Stander</t>
        </is>
      </c>
      <c r="C115" t="inlineStr"/>
      <c r="D115" t="inlineStr">
        <is>
          <t>60</t>
        </is>
      </c>
      <c r="E115" s="2">
        <f>HYPERLINK("https://www.britishcycling.org.uk/points?person_id=873920&amp;year=2024&amp;type=national&amp;d=6","Results")</f>
        <v/>
      </c>
    </row>
    <row r="116">
      <c r="A116" t="inlineStr">
        <is>
          <t>115</t>
        </is>
      </c>
      <c r="B116" t="inlineStr">
        <is>
          <t>Liam Mills</t>
        </is>
      </c>
      <c r="C116" t="inlineStr">
        <is>
          <t>Liverpool Century RC</t>
        </is>
      </c>
      <c r="D116" t="inlineStr">
        <is>
          <t>58</t>
        </is>
      </c>
      <c r="E116" s="2">
        <f>HYPERLINK("https://www.britishcycling.org.uk/points?person_id=814668&amp;year=2024&amp;type=national&amp;d=6","Results")</f>
        <v/>
      </c>
    </row>
    <row r="117">
      <c r="A117" t="inlineStr">
        <is>
          <t>116</t>
        </is>
      </c>
      <c r="B117" t="inlineStr">
        <is>
          <t>David Poole</t>
        </is>
      </c>
      <c r="C117" t="inlineStr">
        <is>
          <t>Stratford CC</t>
        </is>
      </c>
      <c r="D117" t="inlineStr">
        <is>
          <t>57</t>
        </is>
      </c>
      <c r="E117" s="2">
        <f>HYPERLINK("https://www.britishcycling.org.uk/points?person_id=960595&amp;year=2024&amp;type=national&amp;d=6","Results")</f>
        <v/>
      </c>
    </row>
    <row r="118">
      <c r="A118" t="inlineStr">
        <is>
          <t>117</t>
        </is>
      </c>
      <c r="B118" t="inlineStr">
        <is>
          <t>Cailean Vorster</t>
        </is>
      </c>
      <c r="C118" t="inlineStr">
        <is>
          <t>West Lothian Clarion CC</t>
        </is>
      </c>
      <c r="D118" t="inlineStr">
        <is>
          <t>57</t>
        </is>
      </c>
      <c r="E118" s="2">
        <f>HYPERLINK("https://www.britishcycling.org.uk/points?person_id=853347&amp;year=2024&amp;type=national&amp;d=6","Results")</f>
        <v/>
      </c>
    </row>
    <row r="119">
      <c r="A119" t="inlineStr">
        <is>
          <t>118</t>
        </is>
      </c>
      <c r="B119" t="inlineStr">
        <is>
          <t>Gregor Calvert</t>
        </is>
      </c>
      <c r="C119" t="inlineStr">
        <is>
          <t>West Lothian Clarion CC</t>
        </is>
      </c>
      <c r="D119" t="inlineStr">
        <is>
          <t>56</t>
        </is>
      </c>
      <c r="E119" s="2">
        <f>HYPERLINK("https://www.britishcycling.org.uk/points?person_id=1031872&amp;year=2024&amp;type=national&amp;d=6","Results")</f>
        <v/>
      </c>
    </row>
    <row r="120">
      <c r="A120" t="inlineStr">
        <is>
          <t>119</t>
        </is>
      </c>
      <c r="B120" t="inlineStr">
        <is>
          <t>Theo Sandell</t>
        </is>
      </c>
      <c r="C120" t="inlineStr">
        <is>
          <t>Southborough &amp; District Whls</t>
        </is>
      </c>
      <c r="D120" t="inlineStr">
        <is>
          <t>56</t>
        </is>
      </c>
      <c r="E120" s="2">
        <f>HYPERLINK("https://www.britishcycling.org.uk/points?person_id=276821&amp;year=2024&amp;type=national&amp;d=6","Results")</f>
        <v/>
      </c>
    </row>
    <row r="121">
      <c r="A121" t="inlineStr">
        <is>
          <t>120</t>
        </is>
      </c>
      <c r="B121" t="inlineStr">
        <is>
          <t>Oliver Carter</t>
        </is>
      </c>
      <c r="C121" t="inlineStr">
        <is>
          <t>Deeside Thistle CC</t>
        </is>
      </c>
      <c r="D121" t="inlineStr">
        <is>
          <t>54</t>
        </is>
      </c>
      <c r="E121" s="2">
        <f>HYPERLINK("https://www.britishcycling.org.uk/points?person_id=315316&amp;year=2024&amp;type=national&amp;d=6","Results")</f>
        <v/>
      </c>
    </row>
    <row r="122">
      <c r="A122" t="inlineStr">
        <is>
          <t>121</t>
        </is>
      </c>
      <c r="B122" t="inlineStr">
        <is>
          <t>Rory Gravelle</t>
        </is>
      </c>
      <c r="C122" t="inlineStr"/>
      <c r="D122" t="inlineStr">
        <is>
          <t>52</t>
        </is>
      </c>
      <c r="E122" s="2">
        <f>HYPERLINK("https://www.britishcycling.org.uk/points?person_id=227644&amp;year=2024&amp;type=national&amp;d=6","Results")</f>
        <v/>
      </c>
    </row>
    <row r="123">
      <c r="A123" t="inlineStr">
        <is>
          <t>122</t>
        </is>
      </c>
      <c r="B123" t="inlineStr">
        <is>
          <t>Samuel Marcade</t>
        </is>
      </c>
      <c r="C123" t="inlineStr">
        <is>
          <t>Sotonia CC</t>
        </is>
      </c>
      <c r="D123" t="inlineStr">
        <is>
          <t>52</t>
        </is>
      </c>
      <c r="E123" s="2">
        <f>HYPERLINK("https://www.britishcycling.org.uk/points?person_id=1032999&amp;year=2024&amp;type=national&amp;d=6","Results")</f>
        <v/>
      </c>
    </row>
    <row r="124">
      <c r="A124" t="inlineStr">
        <is>
          <t>123</t>
        </is>
      </c>
      <c r="B124" t="inlineStr">
        <is>
          <t>Caspar Reynolds</t>
        </is>
      </c>
      <c r="C124" t="inlineStr">
        <is>
          <t>Matlock CC</t>
        </is>
      </c>
      <c r="D124" t="inlineStr">
        <is>
          <t>50</t>
        </is>
      </c>
      <c r="E124" s="2">
        <f>HYPERLINK("https://www.britishcycling.org.uk/points?person_id=630958&amp;year=2024&amp;type=national&amp;d=6","Results")</f>
        <v/>
      </c>
    </row>
    <row r="125">
      <c r="A125" t="inlineStr">
        <is>
          <t>124</t>
        </is>
      </c>
      <c r="B125" t="inlineStr">
        <is>
          <t>Ryan Dawson</t>
        </is>
      </c>
      <c r="C125" t="inlineStr">
        <is>
          <t>Barnsley Road Club</t>
        </is>
      </c>
      <c r="D125" t="inlineStr">
        <is>
          <t>47</t>
        </is>
      </c>
      <c r="E125" s="2">
        <f>HYPERLINK("https://www.britishcycling.org.uk/points?person_id=996051&amp;year=2024&amp;type=national&amp;d=6","Results")</f>
        <v/>
      </c>
    </row>
    <row r="126">
      <c r="A126" t="inlineStr">
        <is>
          <t>125</t>
        </is>
      </c>
      <c r="B126" t="inlineStr">
        <is>
          <t>Thomas Bottomley</t>
        </is>
      </c>
      <c r="C126" t="inlineStr">
        <is>
          <t>REVOLVE</t>
        </is>
      </c>
      <c r="D126" t="inlineStr">
        <is>
          <t>46</t>
        </is>
      </c>
      <c r="E126" s="2">
        <f>HYPERLINK("https://www.britishcycling.org.uk/points?person_id=928456&amp;year=2024&amp;type=national&amp;d=6","Results")</f>
        <v/>
      </c>
    </row>
    <row r="127">
      <c r="A127" t="inlineStr">
        <is>
          <t>126</t>
        </is>
      </c>
      <c r="B127" t="inlineStr">
        <is>
          <t>Joseph Egan</t>
        </is>
      </c>
      <c r="C127" t="inlineStr">
        <is>
          <t>Halesowen A &amp; CC</t>
        </is>
      </c>
      <c r="D127" t="inlineStr">
        <is>
          <t>46</t>
        </is>
      </c>
      <c r="E127" s="2">
        <f>HYPERLINK("https://www.britishcycling.org.uk/points?person_id=384089&amp;year=2024&amp;type=national&amp;d=6","Results")</f>
        <v/>
      </c>
    </row>
    <row r="128">
      <c r="A128" t="inlineStr">
        <is>
          <t>127</t>
        </is>
      </c>
      <c r="B128" t="inlineStr">
        <is>
          <t>Luca Geddes Gasco</t>
        </is>
      </c>
      <c r="C128" t="inlineStr">
        <is>
          <t>Preston Park Youth CC (PPYCC)</t>
        </is>
      </c>
      <c r="D128" t="inlineStr">
        <is>
          <t>46</t>
        </is>
      </c>
      <c r="E128" s="2">
        <f>HYPERLINK("https://www.britishcycling.org.uk/points?person_id=585348&amp;year=2024&amp;type=national&amp;d=6","Results")</f>
        <v/>
      </c>
    </row>
    <row r="129">
      <c r="A129" t="inlineStr">
        <is>
          <t>128</t>
        </is>
      </c>
      <c r="B129" t="inlineStr">
        <is>
          <t>Daniel Rowntree</t>
        </is>
      </c>
      <c r="C129" t="inlineStr">
        <is>
          <t>Bath Cycling Club</t>
        </is>
      </c>
      <c r="D129" t="inlineStr">
        <is>
          <t>44</t>
        </is>
      </c>
      <c r="E129" s="2">
        <f>HYPERLINK("https://www.britishcycling.org.uk/points?person_id=246827&amp;year=2024&amp;type=national&amp;d=6","Results")</f>
        <v/>
      </c>
    </row>
    <row r="130">
      <c r="A130" t="inlineStr">
        <is>
          <t>129</t>
        </is>
      </c>
      <c r="B130" t="inlineStr">
        <is>
          <t>Rytis Petruskevicius</t>
        </is>
      </c>
      <c r="C130" t="inlineStr">
        <is>
          <t>Limited Edition Cycling</t>
        </is>
      </c>
      <c r="D130" t="inlineStr">
        <is>
          <t>42</t>
        </is>
      </c>
      <c r="E130" s="2">
        <f>HYPERLINK("https://www.britishcycling.org.uk/points?person_id=678152&amp;year=2024&amp;type=national&amp;d=6","Results")</f>
        <v/>
      </c>
    </row>
    <row r="131">
      <c r="A131" t="inlineStr">
        <is>
          <t>130</t>
        </is>
      </c>
      <c r="B131" t="inlineStr">
        <is>
          <t>Teddy Taylor</t>
        </is>
      </c>
      <c r="C131" t="inlineStr">
        <is>
          <t>Chase Racing</t>
        </is>
      </c>
      <c r="D131" t="inlineStr">
        <is>
          <t>42</t>
        </is>
      </c>
      <c r="E131" s="2">
        <f>HYPERLINK("https://www.britishcycling.org.uk/points?person_id=686840&amp;year=2024&amp;type=national&amp;d=6","Results")</f>
        <v/>
      </c>
    </row>
    <row r="132">
      <c r="A132" t="inlineStr">
        <is>
          <t>131</t>
        </is>
      </c>
      <c r="B132" t="inlineStr">
        <is>
          <t>Finley Wilkinson</t>
        </is>
      </c>
      <c r="C132" t="inlineStr">
        <is>
          <t>Shibden Cycling Club</t>
        </is>
      </c>
      <c r="D132" t="inlineStr">
        <is>
          <t>42</t>
        </is>
      </c>
      <c r="E132" s="2">
        <f>HYPERLINK("https://www.britishcycling.org.uk/points?person_id=330261&amp;year=2024&amp;type=national&amp;d=6","Results")</f>
        <v/>
      </c>
    </row>
    <row r="133">
      <c r="A133" t="inlineStr">
        <is>
          <t>132</t>
        </is>
      </c>
      <c r="B133" t="inlineStr">
        <is>
          <t>Ben Howlett</t>
        </is>
      </c>
      <c r="C133" t="inlineStr">
        <is>
          <t>Stowmarket &amp; District CC</t>
        </is>
      </c>
      <c r="D133" t="inlineStr">
        <is>
          <t>41</t>
        </is>
      </c>
      <c r="E133" s="2">
        <f>HYPERLINK("https://www.britishcycling.org.uk/points?person_id=733136&amp;year=2024&amp;type=national&amp;d=6","Results")</f>
        <v/>
      </c>
    </row>
    <row r="134">
      <c r="A134" t="inlineStr">
        <is>
          <t>133</t>
        </is>
      </c>
      <c r="B134" t="inlineStr">
        <is>
          <t>Toby Taverner</t>
        </is>
      </c>
      <c r="C134" t="inlineStr">
        <is>
          <t>Andover Whls</t>
        </is>
      </c>
      <c r="D134" t="inlineStr">
        <is>
          <t>39</t>
        </is>
      </c>
      <c r="E134" s="2">
        <f>HYPERLINK("https://www.britishcycling.org.uk/points?person_id=1015697&amp;year=2024&amp;type=national&amp;d=6","Results")</f>
        <v/>
      </c>
    </row>
    <row r="135">
      <c r="A135" t="inlineStr">
        <is>
          <t>134</t>
        </is>
      </c>
      <c r="B135" t="inlineStr">
        <is>
          <t>Brodie Duncan</t>
        </is>
      </c>
      <c r="C135" t="inlineStr">
        <is>
          <t>West Lothian Clarion CC</t>
        </is>
      </c>
      <c r="D135" t="inlineStr">
        <is>
          <t>38</t>
        </is>
      </c>
      <c r="E135" s="2">
        <f>HYPERLINK("https://www.britishcycling.org.uk/points?person_id=520793&amp;year=2024&amp;type=national&amp;d=6","Results")</f>
        <v/>
      </c>
    </row>
    <row r="136">
      <c r="A136" t="inlineStr">
        <is>
          <t>135</t>
        </is>
      </c>
      <c r="B136" t="inlineStr">
        <is>
          <t>Alasdair Easton</t>
        </is>
      </c>
      <c r="C136" t="inlineStr">
        <is>
          <t>The Cycling Academy</t>
        </is>
      </c>
      <c r="D136" t="inlineStr">
        <is>
          <t>38</t>
        </is>
      </c>
      <c r="E136" s="2">
        <f>HYPERLINK("https://www.britishcycling.org.uk/points?person_id=234091&amp;year=2024&amp;type=national&amp;d=6","Results")</f>
        <v/>
      </c>
    </row>
    <row r="137">
      <c r="A137" t="inlineStr">
        <is>
          <t>136</t>
        </is>
      </c>
      <c r="B137" t="inlineStr">
        <is>
          <t>Euan White</t>
        </is>
      </c>
      <c r="C137" t="inlineStr">
        <is>
          <t>Chase Racing</t>
        </is>
      </c>
      <c r="D137" t="inlineStr">
        <is>
          <t>38</t>
        </is>
      </c>
      <c r="E137" s="2">
        <f>HYPERLINK("https://www.britishcycling.org.uk/points?person_id=552760&amp;year=2024&amp;type=national&amp;d=6","Results")</f>
        <v/>
      </c>
    </row>
    <row r="138">
      <c r="A138" t="inlineStr">
        <is>
          <t>137</t>
        </is>
      </c>
      <c r="B138" t="inlineStr">
        <is>
          <t>Ewan Sexton</t>
        </is>
      </c>
      <c r="C138" t="inlineStr">
        <is>
          <t>West Lothian Clarion CC</t>
        </is>
      </c>
      <c r="D138" t="inlineStr">
        <is>
          <t>36</t>
        </is>
      </c>
      <c r="E138" s="2">
        <f>HYPERLINK("https://www.britishcycling.org.uk/points?person_id=614309&amp;year=2024&amp;type=national&amp;d=6","Results")</f>
        <v/>
      </c>
    </row>
    <row r="139">
      <c r="A139" t="inlineStr">
        <is>
          <t>138</t>
        </is>
      </c>
      <c r="B139" t="inlineStr">
        <is>
          <t>Mikey Ratcliffe</t>
        </is>
      </c>
      <c r="C139" t="inlineStr">
        <is>
          <t>Halesowen A &amp; CC</t>
        </is>
      </c>
      <c r="D139" t="inlineStr">
        <is>
          <t>34</t>
        </is>
      </c>
      <c r="E139" s="2">
        <f>HYPERLINK("https://www.britishcycling.org.uk/points?person_id=465338&amp;year=2024&amp;type=national&amp;d=6","Results")</f>
        <v/>
      </c>
    </row>
    <row r="140">
      <c r="A140" t="inlineStr">
        <is>
          <t>139</t>
        </is>
      </c>
      <c r="B140" t="inlineStr">
        <is>
          <t>Zach Barbour</t>
        </is>
      </c>
      <c r="C140" t="inlineStr">
        <is>
          <t>Edinburgh RC</t>
        </is>
      </c>
      <c r="D140" t="inlineStr">
        <is>
          <t>32</t>
        </is>
      </c>
      <c r="E140" s="2">
        <f>HYPERLINK("https://www.britishcycling.org.uk/points?person_id=525068&amp;year=2024&amp;type=national&amp;d=6","Results")</f>
        <v/>
      </c>
    </row>
    <row r="141">
      <c r="A141" t="inlineStr">
        <is>
          <t>140</t>
        </is>
      </c>
      <c r="B141" t="inlineStr">
        <is>
          <t>Murphy Hamilton</t>
        </is>
      </c>
      <c r="C141" t="inlineStr">
        <is>
          <t>Lichfield City CC</t>
        </is>
      </c>
      <c r="D141" t="inlineStr">
        <is>
          <t>32</t>
        </is>
      </c>
      <c r="E141" s="2">
        <f>HYPERLINK("https://www.britishcycling.org.uk/points?person_id=535443&amp;year=2024&amp;type=national&amp;d=6","Results")</f>
        <v/>
      </c>
    </row>
    <row r="142">
      <c r="A142" t="inlineStr">
        <is>
          <t>141</t>
        </is>
      </c>
      <c r="B142" t="inlineStr">
        <is>
          <t>Finn Davies</t>
        </is>
      </c>
      <c r="C142" t="inlineStr">
        <is>
          <t>Clee Cycles</t>
        </is>
      </c>
      <c r="D142" t="inlineStr">
        <is>
          <t>30</t>
        </is>
      </c>
      <c r="E142" s="2">
        <f>HYPERLINK("https://www.britishcycling.org.uk/points?person_id=383907&amp;year=2024&amp;type=national&amp;d=6","Results")</f>
        <v/>
      </c>
    </row>
    <row r="143">
      <c r="A143" t="inlineStr">
        <is>
          <t>142</t>
        </is>
      </c>
      <c r="B143" t="inlineStr">
        <is>
          <t>James Ingham</t>
        </is>
      </c>
      <c r="C143" t="inlineStr">
        <is>
          <t>Prologue Racing Team</t>
        </is>
      </c>
      <c r="D143" t="inlineStr">
        <is>
          <t>30</t>
        </is>
      </c>
      <c r="E143" s="2">
        <f>HYPERLINK("https://www.britishcycling.org.uk/points?person_id=545785&amp;year=2024&amp;type=national&amp;d=6","Results")</f>
        <v/>
      </c>
    </row>
    <row r="144">
      <c r="A144" t="inlineStr">
        <is>
          <t>143</t>
        </is>
      </c>
      <c r="B144" t="inlineStr">
        <is>
          <t>Max Standen</t>
        </is>
      </c>
      <c r="C144" t="inlineStr">
        <is>
          <t>Southfork Racing.co.uk</t>
        </is>
      </c>
      <c r="D144" t="inlineStr">
        <is>
          <t>30</t>
        </is>
      </c>
      <c r="E144" s="2">
        <f>HYPERLINK("https://www.britishcycling.org.uk/points?person_id=220817&amp;year=2024&amp;type=national&amp;d=6","Results")</f>
        <v/>
      </c>
    </row>
    <row r="145">
      <c r="A145" t="inlineStr">
        <is>
          <t>144</t>
        </is>
      </c>
      <c r="B145" t="inlineStr">
        <is>
          <t>Oliver Bailey</t>
        </is>
      </c>
      <c r="C145" t="inlineStr">
        <is>
          <t>Grity Race Team</t>
        </is>
      </c>
      <c r="D145" t="inlineStr">
        <is>
          <t>26</t>
        </is>
      </c>
      <c r="E145" s="2">
        <f>HYPERLINK("https://www.britishcycling.org.uk/points?person_id=689162&amp;year=2024&amp;type=national&amp;d=6","Results")</f>
        <v/>
      </c>
    </row>
    <row r="146">
      <c r="A146" t="inlineStr">
        <is>
          <t>145</t>
        </is>
      </c>
      <c r="B146" t="inlineStr">
        <is>
          <t>Jed Claxton</t>
        </is>
      </c>
      <c r="C146" t="inlineStr">
        <is>
          <t>Wheal Velocity</t>
        </is>
      </c>
      <c r="D146" t="inlineStr">
        <is>
          <t>26</t>
        </is>
      </c>
      <c r="E146" s="2">
        <f>HYPERLINK("https://www.britishcycling.org.uk/points?person_id=452508&amp;year=2024&amp;type=national&amp;d=6","Results")</f>
        <v/>
      </c>
    </row>
    <row r="147">
      <c r="A147" t="inlineStr">
        <is>
          <t>146</t>
        </is>
      </c>
      <c r="B147" t="inlineStr">
        <is>
          <t>Ted Harvey</t>
        </is>
      </c>
      <c r="C147" t="inlineStr">
        <is>
          <t>Cardiff Ajax CC</t>
        </is>
      </c>
      <c r="D147" t="inlineStr">
        <is>
          <t>26</t>
        </is>
      </c>
      <c r="E147" s="2">
        <f>HYPERLINK("https://www.britishcycling.org.uk/points?person_id=951325&amp;year=2024&amp;type=national&amp;d=6","Results")</f>
        <v/>
      </c>
    </row>
    <row r="148">
      <c r="A148" t="inlineStr">
        <is>
          <t>147</t>
        </is>
      </c>
      <c r="B148" t="inlineStr">
        <is>
          <t>Callum Moreton</t>
        </is>
      </c>
      <c r="C148" t="inlineStr"/>
      <c r="D148" t="inlineStr">
        <is>
          <t>26</t>
        </is>
      </c>
      <c r="E148" s="2">
        <f>HYPERLINK("https://www.britishcycling.org.uk/points?person_id=987465&amp;year=2024&amp;type=national&amp;d=6","Results")</f>
        <v/>
      </c>
    </row>
    <row r="149">
      <c r="A149" t="inlineStr">
        <is>
          <t>148</t>
        </is>
      </c>
      <c r="B149" t="inlineStr">
        <is>
          <t>Huw Watkins</t>
        </is>
      </c>
      <c r="C149" t="inlineStr">
        <is>
          <t>Lee Valley Youth Cycling Club</t>
        </is>
      </c>
      <c r="D149" t="inlineStr">
        <is>
          <t>26</t>
        </is>
      </c>
      <c r="E149" s="2">
        <f>HYPERLINK("https://www.britishcycling.org.uk/points?person_id=557385&amp;year=2024&amp;type=national&amp;d=6","Results")</f>
        <v/>
      </c>
    </row>
    <row r="150">
      <c r="A150" t="inlineStr">
        <is>
          <t>149</t>
        </is>
      </c>
      <c r="B150" t="inlineStr">
        <is>
          <t>Charlie Payne</t>
        </is>
      </c>
      <c r="C150" t="inlineStr">
        <is>
          <t>Lee Valley Youth Cycling Club</t>
        </is>
      </c>
      <c r="D150" t="inlineStr">
        <is>
          <t>24</t>
        </is>
      </c>
      <c r="E150" s="2">
        <f>HYPERLINK("https://www.britishcycling.org.uk/points?person_id=867856&amp;year=2024&amp;type=national&amp;d=6","Results")</f>
        <v/>
      </c>
    </row>
    <row r="151">
      <c r="A151" t="inlineStr">
        <is>
          <t>150</t>
        </is>
      </c>
      <c r="B151" t="inlineStr">
        <is>
          <t>Freddie Wood</t>
        </is>
      </c>
      <c r="C151" t="inlineStr"/>
      <c r="D151" t="inlineStr">
        <is>
          <t>24</t>
        </is>
      </c>
      <c r="E151" s="2">
        <f>HYPERLINK("https://www.britishcycling.org.uk/points?person_id=794814&amp;year=2024&amp;type=national&amp;d=6","Results")</f>
        <v/>
      </c>
    </row>
    <row r="152">
      <c r="A152" t="inlineStr">
        <is>
          <t>151</t>
        </is>
      </c>
      <c r="B152" t="inlineStr">
        <is>
          <t>Daniel Forsyth</t>
        </is>
      </c>
      <c r="C152" t="inlineStr">
        <is>
          <t>Sotonia CC</t>
        </is>
      </c>
      <c r="D152" t="inlineStr">
        <is>
          <t>23</t>
        </is>
      </c>
      <c r="E152" s="2">
        <f>HYPERLINK("https://www.britishcycling.org.uk/points?person_id=1039684&amp;year=2024&amp;type=national&amp;d=6","Results")</f>
        <v/>
      </c>
    </row>
    <row r="153">
      <c r="A153" t="inlineStr">
        <is>
          <t>152</t>
        </is>
      </c>
      <c r="B153" t="inlineStr">
        <is>
          <t>Jason Zhou</t>
        </is>
      </c>
      <c r="C153" t="inlineStr">
        <is>
          <t>Cycle Sport Pendle</t>
        </is>
      </c>
      <c r="D153" t="inlineStr">
        <is>
          <t>23</t>
        </is>
      </c>
      <c r="E153" s="2">
        <f>HYPERLINK("https://www.britishcycling.org.uk/points?person_id=1053620&amp;year=2024&amp;type=national&amp;d=6","Results")</f>
        <v/>
      </c>
    </row>
    <row r="154">
      <c r="A154" t="inlineStr">
        <is>
          <t>153</t>
        </is>
      </c>
      <c r="B154" t="inlineStr">
        <is>
          <t>Sam Beattie</t>
        </is>
      </c>
      <c r="C154" t="inlineStr">
        <is>
          <t>Scotia Offroad Race Team (SORT)</t>
        </is>
      </c>
      <c r="D154" t="inlineStr">
        <is>
          <t>22</t>
        </is>
      </c>
      <c r="E154" s="2">
        <f>HYPERLINK("https://www.britishcycling.org.uk/points?person_id=233628&amp;year=2024&amp;type=national&amp;d=6","Results")</f>
        <v/>
      </c>
    </row>
    <row r="155">
      <c r="A155" t="inlineStr">
        <is>
          <t>154</t>
        </is>
      </c>
      <c r="B155" t="inlineStr">
        <is>
          <t>Tayyib Farook</t>
        </is>
      </c>
      <c r="C155" t="inlineStr">
        <is>
          <t>Leicester Forest CC</t>
        </is>
      </c>
      <c r="D155" t="inlineStr">
        <is>
          <t>22</t>
        </is>
      </c>
      <c r="E155" s="2">
        <f>HYPERLINK("https://www.britishcycling.org.uk/points?person_id=883996&amp;year=2024&amp;type=national&amp;d=6","Results")</f>
        <v/>
      </c>
    </row>
    <row r="156">
      <c r="A156" t="inlineStr">
        <is>
          <t>155</t>
        </is>
      </c>
      <c r="B156" t="inlineStr">
        <is>
          <t>Patrick Furze</t>
        </is>
      </c>
      <c r="C156" t="inlineStr">
        <is>
          <t>Velo Club Venta</t>
        </is>
      </c>
      <c r="D156" t="inlineStr">
        <is>
          <t>22</t>
        </is>
      </c>
      <c r="E156" s="2">
        <f>HYPERLINK("https://www.britishcycling.org.uk/points?person_id=1039175&amp;year=2024&amp;type=national&amp;d=6","Results")</f>
        <v/>
      </c>
    </row>
    <row r="157">
      <c r="A157" t="inlineStr">
        <is>
          <t>156</t>
        </is>
      </c>
      <c r="B157" t="inlineStr">
        <is>
          <t>Finlay Goodman</t>
        </is>
      </c>
      <c r="C157" t="inlineStr">
        <is>
          <t>Southborough &amp; District Whls</t>
        </is>
      </c>
      <c r="D157" t="inlineStr">
        <is>
          <t>22</t>
        </is>
      </c>
      <c r="E157" s="2">
        <f>HYPERLINK("https://www.britishcycling.org.uk/points?person_id=774606&amp;year=2024&amp;type=national&amp;d=6","Results")</f>
        <v/>
      </c>
    </row>
    <row r="158">
      <c r="A158" t="inlineStr">
        <is>
          <t>157</t>
        </is>
      </c>
      <c r="B158" t="inlineStr">
        <is>
          <t>Arthur Morley</t>
        </is>
      </c>
      <c r="C158" t="inlineStr">
        <is>
          <t>Velo Club Lincoln</t>
        </is>
      </c>
      <c r="D158" t="inlineStr">
        <is>
          <t>22</t>
        </is>
      </c>
      <c r="E158" s="2">
        <f>HYPERLINK("https://www.britishcycling.org.uk/points?person_id=644745&amp;year=2024&amp;type=national&amp;d=6","Results")</f>
        <v/>
      </c>
    </row>
    <row r="159">
      <c r="A159" t="inlineStr">
        <is>
          <t>158</t>
        </is>
      </c>
      <c r="B159" t="inlineStr">
        <is>
          <t>Israel Noble</t>
        </is>
      </c>
      <c r="C159" t="inlineStr"/>
      <c r="D159" t="inlineStr">
        <is>
          <t>22</t>
        </is>
      </c>
      <c r="E159" s="2">
        <f>HYPERLINK("https://www.britishcycling.org.uk/points?person_id=475273&amp;year=2024&amp;type=national&amp;d=6","Results")</f>
        <v/>
      </c>
    </row>
    <row r="160">
      <c r="A160" t="inlineStr">
        <is>
          <t>159</t>
        </is>
      </c>
      <c r="B160" t="inlineStr">
        <is>
          <t>Ben Scott</t>
        </is>
      </c>
      <c r="C160" t="inlineStr">
        <is>
          <t>Racing Metro 15</t>
        </is>
      </c>
      <c r="D160" t="inlineStr">
        <is>
          <t>22</t>
        </is>
      </c>
      <c r="E160" s="2">
        <f>HYPERLINK("https://www.britishcycling.org.uk/points?person_id=296029&amp;year=2024&amp;type=national&amp;d=6","Results")</f>
        <v/>
      </c>
    </row>
    <row r="161">
      <c r="A161" t="inlineStr">
        <is>
          <t>160</t>
        </is>
      </c>
      <c r="B161" t="inlineStr">
        <is>
          <t>Kalle van Paridon</t>
        </is>
      </c>
      <c r="C161" t="inlineStr"/>
      <c r="D161" t="inlineStr">
        <is>
          <t>22</t>
        </is>
      </c>
      <c r="E161" s="2">
        <f>HYPERLINK("https://www.britishcycling.org.uk/points?person_id=1025005&amp;year=2024&amp;type=national&amp;d=6","Results")</f>
        <v/>
      </c>
    </row>
    <row r="162">
      <c r="A162" t="inlineStr">
        <is>
          <t>161</t>
        </is>
      </c>
      <c r="B162" t="inlineStr">
        <is>
          <t>Ben Baker</t>
        </is>
      </c>
      <c r="C162" t="inlineStr">
        <is>
          <t>Ride Revolution Coaching</t>
        </is>
      </c>
      <c r="D162" t="inlineStr">
        <is>
          <t>20</t>
        </is>
      </c>
      <c r="E162" s="2">
        <f>HYPERLINK("https://www.britishcycling.org.uk/points?person_id=672658&amp;year=2024&amp;type=national&amp;d=6","Results")</f>
        <v/>
      </c>
    </row>
    <row r="163">
      <c r="A163" t="inlineStr">
        <is>
          <t>162</t>
        </is>
      </c>
      <c r="B163" t="inlineStr">
        <is>
          <t>Harry Knox</t>
        </is>
      </c>
      <c r="C163" t="inlineStr">
        <is>
          <t>Barnesbury CC</t>
        </is>
      </c>
      <c r="D163" t="inlineStr">
        <is>
          <t>20</t>
        </is>
      </c>
      <c r="E163" s="2">
        <f>HYPERLINK("https://www.britishcycling.org.uk/points?person_id=543635&amp;year=2024&amp;type=national&amp;d=6","Results")</f>
        <v/>
      </c>
    </row>
    <row r="164">
      <c r="A164" t="inlineStr">
        <is>
          <t>163</t>
        </is>
      </c>
      <c r="B164" t="inlineStr">
        <is>
          <t>Vyaan Dhokia</t>
        </is>
      </c>
      <c r="C164" t="inlineStr">
        <is>
          <t>The Cycling Academy</t>
        </is>
      </c>
      <c r="D164" t="inlineStr">
        <is>
          <t>19</t>
        </is>
      </c>
      <c r="E164" s="2">
        <f>HYPERLINK("https://www.britishcycling.org.uk/points?person_id=1015872&amp;year=2024&amp;type=national&amp;d=6","Results")</f>
        <v/>
      </c>
    </row>
    <row r="165">
      <c r="A165" t="inlineStr">
        <is>
          <t>164</t>
        </is>
      </c>
      <c r="B165" t="inlineStr">
        <is>
          <t>Finlay Blythe</t>
        </is>
      </c>
      <c r="C165" t="inlineStr">
        <is>
          <t>Southborough &amp; District Whls</t>
        </is>
      </c>
      <c r="D165" t="inlineStr">
        <is>
          <t>18</t>
        </is>
      </c>
      <c r="E165" s="2">
        <f>HYPERLINK("https://www.britishcycling.org.uk/points?person_id=1132139&amp;year=2024&amp;type=national&amp;d=6","Results")</f>
        <v/>
      </c>
    </row>
    <row r="166">
      <c r="A166" t="inlineStr">
        <is>
          <t>165</t>
        </is>
      </c>
      <c r="B166" t="inlineStr">
        <is>
          <t>Jack Harker</t>
        </is>
      </c>
      <c r="C166" t="inlineStr">
        <is>
          <t>Hetton Hawks Cycling Club</t>
        </is>
      </c>
      <c r="D166" t="inlineStr">
        <is>
          <t>18</t>
        </is>
      </c>
      <c r="E166" s="2">
        <f>HYPERLINK("https://www.britishcycling.org.uk/points?person_id=396032&amp;year=2024&amp;type=national&amp;d=6","Results")</f>
        <v/>
      </c>
    </row>
    <row r="167">
      <c r="A167" t="inlineStr">
        <is>
          <t>166</t>
        </is>
      </c>
      <c r="B167" t="inlineStr">
        <is>
          <t>Samuel Smith</t>
        </is>
      </c>
      <c r="C167" t="inlineStr">
        <is>
          <t>St Ives CC</t>
        </is>
      </c>
      <c r="D167" t="inlineStr">
        <is>
          <t>18</t>
        </is>
      </c>
      <c r="E167" s="2">
        <f>HYPERLINK("https://www.britishcycling.org.uk/points?person_id=625457&amp;year=2024&amp;type=national&amp;d=6","Results")</f>
        <v/>
      </c>
    </row>
    <row r="168">
      <c r="A168" t="inlineStr">
        <is>
          <t>167</t>
        </is>
      </c>
      <c r="B168" t="inlineStr">
        <is>
          <t>Eric Till</t>
        </is>
      </c>
      <c r="C168" t="inlineStr">
        <is>
          <t>Discovery Junior Cycling Club</t>
        </is>
      </c>
      <c r="D168" t="inlineStr">
        <is>
          <t>18</t>
        </is>
      </c>
      <c r="E168" s="2">
        <f>HYPERLINK("https://www.britishcycling.org.uk/points?person_id=936333&amp;year=2024&amp;type=national&amp;d=6","Results")</f>
        <v/>
      </c>
    </row>
    <row r="169">
      <c r="A169" t="inlineStr">
        <is>
          <t>168</t>
        </is>
      </c>
      <c r="B169" t="inlineStr">
        <is>
          <t>Benjamin Hancock</t>
        </is>
      </c>
      <c r="C169" t="inlineStr">
        <is>
          <t>Wyre Forest CRC</t>
        </is>
      </c>
      <c r="D169" t="inlineStr">
        <is>
          <t>16</t>
        </is>
      </c>
      <c r="E169" s="2">
        <f>HYPERLINK("https://www.britishcycling.org.uk/points?person_id=1130420&amp;year=2024&amp;type=national&amp;d=6","Results")</f>
        <v/>
      </c>
    </row>
    <row r="170">
      <c r="A170" t="inlineStr">
        <is>
          <t>169</t>
        </is>
      </c>
      <c r="B170" t="inlineStr">
        <is>
          <t>Mark Ketteringham</t>
        </is>
      </c>
      <c r="C170" t="inlineStr">
        <is>
          <t>Harrogate Nova Race Team</t>
        </is>
      </c>
      <c r="D170" t="inlineStr">
        <is>
          <t>16</t>
        </is>
      </c>
      <c r="E170" s="2">
        <f>HYPERLINK("https://www.britishcycling.org.uk/points?person_id=557724&amp;year=2024&amp;type=national&amp;d=6","Results")</f>
        <v/>
      </c>
    </row>
    <row r="171">
      <c r="A171" t="inlineStr">
        <is>
          <t>170</t>
        </is>
      </c>
      <c r="B171" t="inlineStr">
        <is>
          <t>Toby Walker</t>
        </is>
      </c>
      <c r="C171" t="inlineStr">
        <is>
          <t>Lee Valley Youth Cycling Club</t>
        </is>
      </c>
      <c r="D171" t="inlineStr">
        <is>
          <t>14</t>
        </is>
      </c>
      <c r="E171" s="2">
        <f>HYPERLINK("https://www.britishcycling.org.uk/points?person_id=1057465&amp;year=2024&amp;type=national&amp;d=6","Results")</f>
        <v/>
      </c>
    </row>
    <row r="172">
      <c r="A172" t="inlineStr">
        <is>
          <t>171</t>
        </is>
      </c>
      <c r="B172" t="inlineStr">
        <is>
          <t>Ashley Watton</t>
        </is>
      </c>
      <c r="C172" t="inlineStr">
        <is>
          <t>Chase Racing</t>
        </is>
      </c>
      <c r="D172" t="inlineStr">
        <is>
          <t>14</t>
        </is>
      </c>
      <c r="E172" s="2">
        <f>HYPERLINK("https://www.britishcycling.org.uk/points?person_id=678270&amp;year=2024&amp;type=national&amp;d=6","Results")</f>
        <v/>
      </c>
    </row>
    <row r="173">
      <c r="A173" t="inlineStr">
        <is>
          <t>172</t>
        </is>
      </c>
      <c r="B173" t="inlineStr">
        <is>
          <t>Daniel Phillips</t>
        </is>
      </c>
      <c r="C173" t="inlineStr">
        <is>
          <t>trainSharp Development Team</t>
        </is>
      </c>
      <c r="D173" t="inlineStr">
        <is>
          <t>12</t>
        </is>
      </c>
      <c r="E173" s="2">
        <f>HYPERLINK("https://www.britishcycling.org.uk/points?person_id=509416&amp;year=2024&amp;type=national&amp;d=6","Results")</f>
        <v/>
      </c>
    </row>
    <row r="174">
      <c r="A174" t="inlineStr">
        <is>
          <t>173</t>
        </is>
      </c>
      <c r="B174" t="inlineStr">
        <is>
          <t>Gethan Tweedie</t>
        </is>
      </c>
      <c r="C174" t="inlineStr">
        <is>
          <t>Bedgebury Forest CC</t>
        </is>
      </c>
      <c r="D174" t="inlineStr">
        <is>
          <t>11</t>
        </is>
      </c>
      <c r="E174" s="2">
        <f>HYPERLINK("https://www.britishcycling.org.uk/points?person_id=586083&amp;year=2024&amp;type=national&amp;d=6","Results")</f>
        <v/>
      </c>
    </row>
    <row r="175">
      <c r="A175" t="inlineStr">
        <is>
          <t>174</t>
        </is>
      </c>
      <c r="B175" t="inlineStr">
        <is>
          <t>Jodok Amstad-Kua</t>
        </is>
      </c>
      <c r="C175" t="inlineStr"/>
      <c r="D175" t="inlineStr">
        <is>
          <t>10</t>
        </is>
      </c>
      <c r="E175" s="2">
        <f>HYPERLINK("https://www.britishcycling.org.uk/points?person_id=1154718&amp;year=2024&amp;type=national&amp;d=6","Results")</f>
        <v/>
      </c>
    </row>
    <row r="176">
      <c r="A176" t="inlineStr">
        <is>
          <t>175</t>
        </is>
      </c>
      <c r="B176" t="inlineStr">
        <is>
          <t>Oriel Cassina</t>
        </is>
      </c>
      <c r="C176" t="inlineStr"/>
      <c r="D176" t="inlineStr">
        <is>
          <t>10</t>
        </is>
      </c>
      <c r="E176" s="2">
        <f>HYPERLINK("https://www.britishcycling.org.uk/points?person_id=1162321&amp;year=2024&amp;type=national&amp;d=6","Results")</f>
        <v/>
      </c>
    </row>
    <row r="177">
      <c r="A177" t="inlineStr">
        <is>
          <t>176</t>
        </is>
      </c>
      <c r="B177" t="inlineStr">
        <is>
          <t>Oliver Shears</t>
        </is>
      </c>
      <c r="C177" t="inlineStr">
        <is>
          <t>Palmer Park Velo RT</t>
        </is>
      </c>
      <c r="D177" t="inlineStr">
        <is>
          <t>9</t>
        </is>
      </c>
      <c r="E177" s="2">
        <f>HYPERLINK("https://www.britishcycling.org.uk/points?person_id=944236&amp;year=2024&amp;type=national&amp;d=6","Results")</f>
        <v/>
      </c>
    </row>
    <row r="178">
      <c r="A178" t="inlineStr">
        <is>
          <t>177</t>
        </is>
      </c>
      <c r="B178" t="inlineStr">
        <is>
          <t>Nathan Farrell</t>
        </is>
      </c>
      <c r="C178" t="inlineStr">
        <is>
          <t>Royal Albert CC</t>
        </is>
      </c>
      <c r="D178" t="inlineStr">
        <is>
          <t>8</t>
        </is>
      </c>
      <c r="E178" s="2">
        <f>HYPERLINK("https://www.britishcycling.org.uk/points?person_id=466976&amp;year=2024&amp;type=national&amp;d=6","Results")</f>
        <v/>
      </c>
    </row>
    <row r="179">
      <c r="A179" t="inlineStr">
        <is>
          <t>178</t>
        </is>
      </c>
      <c r="B179" t="inlineStr">
        <is>
          <t>Elliot Gurney</t>
        </is>
      </c>
      <c r="C179" t="inlineStr">
        <is>
          <t>Velo Club Venta</t>
        </is>
      </c>
      <c r="D179" t="inlineStr">
        <is>
          <t>4</t>
        </is>
      </c>
      <c r="E179" s="2">
        <f>HYPERLINK("https://www.britishcycling.org.uk/points?person_id=1033182&amp;year=2024&amp;type=national&amp;d=6","Results")</f>
        <v/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F495"/>
  <sheetViews>
    <sheetView workbookViewId="0">
      <selection activeCell="A1" sqref="A1"/>
    </sheetView>
  </sheetViews>
  <sheetFormatPr baseColWidth="8" defaultRowHeight="15"/>
  <cols>
    <col width="8" customWidth="1" min="1" max="1"/>
    <col width="25" customWidth="1" min="2" max="2"/>
    <col width="50" customWidth="1" min="3" max="3"/>
    <col width="7" customWidth="1" min="4" max="4"/>
    <col width="20" customWidth="1" min="5" max="5"/>
  </cols>
  <sheetData>
    <row r="1">
      <c r="A1" s="1" t="inlineStr">
        <is>
          <t>Ranking</t>
        </is>
      </c>
      <c r="B1" s="1" t="inlineStr">
        <is>
          <t>Name</t>
        </is>
      </c>
      <c r="C1" s="1" t="inlineStr">
        <is>
          <t>Club/Team</t>
        </is>
      </c>
      <c r="D1" s="1" t="inlineStr">
        <is>
          <t>Points</t>
        </is>
      </c>
      <c r="E1" s="1" t="inlineStr">
        <is>
          <t>Detail (click)</t>
        </is>
      </c>
      <c r="F1" s="1" t="inlineStr">
        <is>
          <t>Updated: 2024-12-20</t>
        </is>
      </c>
    </row>
    <row r="2">
      <c r="A2" t="inlineStr">
        <is>
          <t>1</t>
        </is>
      </c>
      <c r="B2" t="inlineStr">
        <is>
          <t>Thomas Mein</t>
        </is>
      </c>
      <c r="C2" t="inlineStr">
        <is>
          <t>Hope Factory Racing</t>
        </is>
      </c>
      <c r="D2" t="inlineStr">
        <is>
          <t>540</t>
        </is>
      </c>
      <c r="E2" s="2">
        <f>HYPERLINK("https://www.britishcycling.org.uk/points?person_id=71625&amp;year=2024&amp;type=national&amp;d=6","Results")</f>
        <v/>
      </c>
    </row>
    <row r="3">
      <c r="A3" t="inlineStr">
        <is>
          <t>2</t>
        </is>
      </c>
      <c r="B3" t="inlineStr">
        <is>
          <t>Jenson Young</t>
        </is>
      </c>
      <c r="C3" t="inlineStr">
        <is>
          <t>Spectra Racing p/b DAS</t>
        </is>
      </c>
      <c r="D3" t="inlineStr">
        <is>
          <t>452</t>
        </is>
      </c>
      <c r="E3" s="2">
        <f>HYPERLINK("https://www.britishcycling.org.uk/points?person_id=103190&amp;year=2024&amp;type=national&amp;d=6","Results")</f>
        <v/>
      </c>
    </row>
    <row r="4">
      <c r="A4" t="inlineStr">
        <is>
          <t>3</t>
        </is>
      </c>
      <c r="B4" t="inlineStr">
        <is>
          <t>Kieran Jarvis</t>
        </is>
      </c>
      <c r="C4" t="inlineStr">
        <is>
          <t>Optimum Coaching</t>
        </is>
      </c>
      <c r="D4" t="inlineStr">
        <is>
          <t>400</t>
        </is>
      </c>
      <c r="E4" s="2">
        <f>HYPERLINK("https://www.britishcycling.org.uk/points?person_id=262111&amp;year=2024&amp;type=national&amp;d=6","Results")</f>
        <v/>
      </c>
    </row>
    <row r="5">
      <c r="A5" t="inlineStr">
        <is>
          <t>4</t>
        </is>
      </c>
      <c r="B5" t="inlineStr">
        <is>
          <t>Daniel Barnes</t>
        </is>
      </c>
      <c r="C5" t="inlineStr">
        <is>
          <t>Spectra Racing p/b DAS</t>
        </is>
      </c>
      <c r="D5" t="inlineStr">
        <is>
          <t>384</t>
        </is>
      </c>
      <c r="E5" s="2">
        <f>HYPERLINK("https://www.britishcycling.org.uk/points?person_id=10140&amp;year=2024&amp;type=national&amp;d=6","Results")</f>
        <v/>
      </c>
    </row>
    <row r="6">
      <c r="A6" t="inlineStr">
        <is>
          <t>5</t>
        </is>
      </c>
      <c r="B6" t="inlineStr">
        <is>
          <t>Cameron Hurst</t>
        </is>
      </c>
      <c r="C6" t="inlineStr">
        <is>
          <t>Schils -  Doltcini Racing Team</t>
        </is>
      </c>
      <c r="D6" t="inlineStr">
        <is>
          <t>366</t>
        </is>
      </c>
      <c r="E6" s="2">
        <f>HYPERLINK("https://www.britishcycling.org.uk/points?person_id=288642&amp;year=2024&amp;type=national&amp;d=6","Results")</f>
        <v/>
      </c>
    </row>
    <row r="7">
      <c r="A7" t="inlineStr">
        <is>
          <t>6</t>
        </is>
      </c>
      <c r="B7" t="inlineStr">
        <is>
          <t>George Turner</t>
        </is>
      </c>
      <c r="C7" t="inlineStr">
        <is>
          <t>Athlon CC</t>
        </is>
      </c>
      <c r="D7" t="inlineStr">
        <is>
          <t>334</t>
        </is>
      </c>
      <c r="E7" s="2">
        <f>HYPERLINK("https://www.britishcycling.org.uk/points?person_id=958994&amp;year=2024&amp;type=national&amp;d=6","Results")</f>
        <v/>
      </c>
    </row>
    <row r="8">
      <c r="A8" t="inlineStr">
        <is>
          <t>7</t>
        </is>
      </c>
      <c r="B8" t="inlineStr">
        <is>
          <t>Matt Watson</t>
        </is>
      </c>
      <c r="C8" t="inlineStr">
        <is>
          <t>Ride Revolution Coaching</t>
        </is>
      </c>
      <c r="D8" t="inlineStr">
        <is>
          <t>334</t>
        </is>
      </c>
      <c r="E8" s="2">
        <f>HYPERLINK("https://www.britishcycling.org.uk/points?person_id=347836&amp;year=2024&amp;type=national&amp;d=6","Results")</f>
        <v/>
      </c>
    </row>
    <row r="9">
      <c r="A9" t="inlineStr">
        <is>
          <t>8</t>
        </is>
      </c>
      <c r="B9" t="inlineStr">
        <is>
          <t>Jake Hales</t>
        </is>
      </c>
      <c r="C9" t="inlineStr">
        <is>
          <t>Ride Revolution Coaching</t>
        </is>
      </c>
      <c r="D9" t="inlineStr">
        <is>
          <t>328</t>
        </is>
      </c>
      <c r="E9" s="2">
        <f>HYPERLINK("https://www.britishcycling.org.uk/points?person_id=58720&amp;year=2024&amp;type=national&amp;d=6","Results")</f>
        <v/>
      </c>
    </row>
    <row r="10">
      <c r="A10" t="inlineStr">
        <is>
          <t>9</t>
        </is>
      </c>
      <c r="B10" t="inlineStr">
        <is>
          <t>Sullivan Berry</t>
        </is>
      </c>
      <c r="C10" t="inlineStr">
        <is>
          <t>ROTOR Race Team</t>
        </is>
      </c>
      <c r="D10" t="inlineStr">
        <is>
          <t>319</t>
        </is>
      </c>
      <c r="E10" s="2">
        <f>HYPERLINK("https://www.britishcycling.org.uk/points?person_id=106094&amp;year=2024&amp;type=national&amp;d=6","Results")</f>
        <v/>
      </c>
    </row>
    <row r="11">
      <c r="A11" t="inlineStr">
        <is>
          <t>10</t>
        </is>
      </c>
      <c r="B11" t="inlineStr">
        <is>
          <t>Lewis Martin</t>
        </is>
      </c>
      <c r="C11" t="inlineStr">
        <is>
          <t>Studio Velo</t>
        </is>
      </c>
      <c r="D11" t="inlineStr">
        <is>
          <t>310</t>
        </is>
      </c>
      <c r="E11" s="2">
        <f>HYPERLINK("https://www.britishcycling.org.uk/points?person_id=133261&amp;year=2024&amp;type=national&amp;d=6","Results")</f>
        <v/>
      </c>
    </row>
    <row r="12">
      <c r="A12" t="inlineStr">
        <is>
          <t>11</t>
        </is>
      </c>
      <c r="B12" t="inlineStr">
        <is>
          <t>Giles Drake</t>
        </is>
      </c>
      <c r="C12" t="inlineStr">
        <is>
          <t>Wheelbase CabTech Castelli</t>
        </is>
      </c>
      <c r="D12" t="inlineStr">
        <is>
          <t>292</t>
        </is>
      </c>
      <c r="E12" s="2">
        <f>HYPERLINK("https://www.britishcycling.org.uk/points?person_id=78277&amp;year=2024&amp;type=national&amp;d=6","Results")</f>
        <v/>
      </c>
    </row>
    <row r="13">
      <c r="A13" t="inlineStr">
        <is>
          <t>12</t>
        </is>
      </c>
      <c r="B13" t="inlineStr">
        <is>
          <t>Alfie Amey</t>
        </is>
      </c>
      <c r="C13" t="inlineStr">
        <is>
          <t>TEKKERZ CC</t>
        </is>
      </c>
      <c r="D13" t="inlineStr">
        <is>
          <t>279</t>
        </is>
      </c>
      <c r="E13" s="2">
        <f>HYPERLINK("https://www.britishcycling.org.uk/points?person_id=218543&amp;year=2024&amp;type=national&amp;d=6","Results")</f>
        <v/>
      </c>
    </row>
    <row r="14">
      <c r="A14" t="inlineStr">
        <is>
          <t>13</t>
        </is>
      </c>
      <c r="B14" t="inlineStr">
        <is>
          <t>Robert Burns</t>
        </is>
      </c>
      <c r="C14" t="inlineStr">
        <is>
          <t>Malvern Cycle Sport</t>
        </is>
      </c>
      <c r="D14" t="inlineStr">
        <is>
          <t>257</t>
        </is>
      </c>
      <c r="E14" s="2">
        <f>HYPERLINK("https://www.britishcycling.org.uk/points?person_id=77268&amp;year=2024&amp;type=national&amp;d=6","Results")</f>
        <v/>
      </c>
    </row>
    <row r="15">
      <c r="A15" t="inlineStr">
        <is>
          <t>14</t>
        </is>
      </c>
      <c r="B15" t="inlineStr">
        <is>
          <t>Mackenzie Mellish</t>
        </is>
      </c>
      <c r="C15" t="inlineStr"/>
      <c r="D15" t="inlineStr">
        <is>
          <t>255</t>
        </is>
      </c>
      <c r="E15" s="2">
        <f>HYPERLINK("https://www.britishcycling.org.uk/points?person_id=181327&amp;year=2024&amp;type=national&amp;d=6","Results")</f>
        <v/>
      </c>
    </row>
    <row r="16">
      <c r="A16" t="inlineStr">
        <is>
          <t>15</t>
        </is>
      </c>
      <c r="B16" t="inlineStr">
        <is>
          <t>Spencer Corder</t>
        </is>
      </c>
      <c r="C16" t="inlineStr">
        <is>
          <t>ROTOR Race Team</t>
        </is>
      </c>
      <c r="D16" t="inlineStr">
        <is>
          <t>253</t>
        </is>
      </c>
      <c r="E16" s="2">
        <f>HYPERLINK("https://www.britishcycling.org.uk/points?person_id=290168&amp;year=2024&amp;type=national&amp;d=6","Results")</f>
        <v/>
      </c>
    </row>
    <row r="17">
      <c r="A17" t="inlineStr">
        <is>
          <t>16</t>
        </is>
      </c>
      <c r="B17" t="inlineStr">
        <is>
          <t>Luke Gibson</t>
        </is>
      </c>
      <c r="C17" t="inlineStr">
        <is>
          <t>4T+ Cyclopark</t>
        </is>
      </c>
      <c r="D17" t="inlineStr">
        <is>
          <t>248</t>
        </is>
      </c>
      <c r="E17" s="2">
        <f>HYPERLINK("https://www.britishcycling.org.uk/points?person_id=218449&amp;year=2024&amp;type=national&amp;d=6","Results")</f>
        <v/>
      </c>
    </row>
    <row r="18">
      <c r="A18" t="inlineStr">
        <is>
          <t>17</t>
        </is>
      </c>
      <c r="B18" t="inlineStr">
        <is>
          <t>Samuel Nisbet</t>
        </is>
      </c>
      <c r="C18" t="inlineStr">
        <is>
          <t>Reflex Nopinz</t>
        </is>
      </c>
      <c r="D18" t="inlineStr">
        <is>
          <t>242</t>
        </is>
      </c>
      <c r="E18" s="2">
        <f>HYPERLINK("https://www.britishcycling.org.uk/points?person_id=471934&amp;year=2024&amp;type=national&amp;d=6","Results")</f>
        <v/>
      </c>
    </row>
    <row r="19">
      <c r="A19" t="inlineStr">
        <is>
          <t>18</t>
        </is>
      </c>
      <c r="B19" t="inlineStr">
        <is>
          <t>Toby Barnes</t>
        </is>
      </c>
      <c r="C19" t="inlineStr">
        <is>
          <t>Spectra Racing p/b DAS</t>
        </is>
      </c>
      <c r="D19" t="inlineStr">
        <is>
          <t>240</t>
        </is>
      </c>
      <c r="E19" s="2">
        <f>HYPERLINK("https://www.britishcycling.org.uk/points?person_id=71986&amp;year=2024&amp;type=national&amp;d=6","Results")</f>
        <v/>
      </c>
    </row>
    <row r="20">
      <c r="A20" t="inlineStr">
        <is>
          <t>19</t>
        </is>
      </c>
      <c r="B20" t="inlineStr">
        <is>
          <t>Matthew Wilson</t>
        </is>
      </c>
      <c r="C20" t="inlineStr">
        <is>
          <t>Ride Revolution Coaching</t>
        </is>
      </c>
      <c r="D20" t="inlineStr">
        <is>
          <t>239</t>
        </is>
      </c>
      <c r="E20" s="2">
        <f>HYPERLINK("https://www.britishcycling.org.uk/points?person_id=735485&amp;year=2024&amp;type=national&amp;d=6","Results")</f>
        <v/>
      </c>
    </row>
    <row r="21">
      <c r="A21" t="inlineStr">
        <is>
          <t>20</t>
        </is>
      </c>
      <c r="B21" t="inlineStr">
        <is>
          <t>Thomas Payton</t>
        </is>
      </c>
      <c r="C21" t="inlineStr">
        <is>
          <t>Stourbridge CC</t>
        </is>
      </c>
      <c r="D21" t="inlineStr">
        <is>
          <t>236</t>
        </is>
      </c>
      <c r="E21" s="2">
        <f>HYPERLINK("https://www.britishcycling.org.uk/points?person_id=44717&amp;year=2024&amp;type=national&amp;d=6","Results")</f>
        <v/>
      </c>
    </row>
    <row r="22">
      <c r="A22" t="inlineStr">
        <is>
          <t>21</t>
        </is>
      </c>
      <c r="B22" t="inlineStr">
        <is>
          <t>Tom Couzens</t>
        </is>
      </c>
      <c r="C22" t="inlineStr">
        <is>
          <t>Montezuma's Eventrex Race Team</t>
        </is>
      </c>
      <c r="D22" t="inlineStr">
        <is>
          <t>233</t>
        </is>
      </c>
      <c r="E22" s="2">
        <f>HYPERLINK("https://www.britishcycling.org.uk/points?person_id=235127&amp;year=2024&amp;type=national&amp;d=6","Results")</f>
        <v/>
      </c>
    </row>
    <row r="23">
      <c r="A23" t="inlineStr">
        <is>
          <t>22</t>
        </is>
      </c>
      <c r="B23" t="inlineStr">
        <is>
          <t>Oliver Halliday</t>
        </is>
      </c>
      <c r="C23" t="inlineStr"/>
      <c r="D23" t="inlineStr">
        <is>
          <t>231</t>
        </is>
      </c>
      <c r="E23" s="2">
        <f>HYPERLINK("https://www.britishcycling.org.uk/points?person_id=652763&amp;year=2024&amp;type=national&amp;d=6","Results")</f>
        <v/>
      </c>
    </row>
    <row r="24">
      <c r="A24" t="inlineStr">
        <is>
          <t>23</t>
        </is>
      </c>
      <c r="B24" t="inlineStr">
        <is>
          <t>Simon Wyllie</t>
        </is>
      </c>
      <c r="C24" t="inlineStr">
        <is>
          <t>Spectra Racing p/b DAS</t>
        </is>
      </c>
      <c r="D24" t="inlineStr">
        <is>
          <t>229</t>
        </is>
      </c>
      <c r="E24" s="2">
        <f>HYPERLINK("https://www.britishcycling.org.uk/points?person_id=281698&amp;year=2024&amp;type=national&amp;d=6","Results")</f>
        <v/>
      </c>
    </row>
    <row r="25">
      <c r="A25" t="inlineStr">
        <is>
          <t>24</t>
        </is>
      </c>
      <c r="B25" t="inlineStr">
        <is>
          <t>Josh Asquith</t>
        </is>
      </c>
      <c r="C25" t="inlineStr"/>
      <c r="D25" t="inlineStr">
        <is>
          <t>226</t>
        </is>
      </c>
      <c r="E25" s="2">
        <f>HYPERLINK("https://www.britishcycling.org.uk/points?person_id=185116&amp;year=2024&amp;type=national&amp;d=6","Results")</f>
        <v/>
      </c>
    </row>
    <row r="26">
      <c r="A26" t="inlineStr">
        <is>
          <t>25</t>
        </is>
      </c>
      <c r="B26" t="inlineStr">
        <is>
          <t>Kishan Bakrania</t>
        </is>
      </c>
      <c r="C26" t="inlineStr"/>
      <c r="D26" t="inlineStr">
        <is>
          <t>225</t>
        </is>
      </c>
      <c r="E26" s="2">
        <f>HYPERLINK("https://www.britishcycling.org.uk/points?person_id=189687&amp;year=2024&amp;type=national&amp;d=6","Results")</f>
        <v/>
      </c>
    </row>
    <row r="27">
      <c r="A27" t="inlineStr">
        <is>
          <t>26</t>
        </is>
      </c>
      <c r="B27" t="inlineStr">
        <is>
          <t>Mark Cotton</t>
        </is>
      </c>
      <c r="C27" t="inlineStr">
        <is>
          <t>Velo Club Lincoln</t>
        </is>
      </c>
      <c r="D27" t="inlineStr">
        <is>
          <t>222</t>
        </is>
      </c>
      <c r="E27" s="2">
        <f>HYPERLINK("https://www.britishcycling.org.uk/points?person_id=69812&amp;year=2024&amp;type=national&amp;d=6","Results")</f>
        <v/>
      </c>
    </row>
    <row r="28">
      <c r="A28" t="inlineStr">
        <is>
          <t>27</t>
        </is>
      </c>
      <c r="B28" t="inlineStr">
        <is>
          <t>Max Bolton</t>
        </is>
      </c>
      <c r="C28" t="inlineStr">
        <is>
          <t>Oxford University Cycling Club</t>
        </is>
      </c>
      <c r="D28" t="inlineStr">
        <is>
          <t>220</t>
        </is>
      </c>
      <c r="E28" s="2">
        <f>HYPERLINK("https://www.britishcycling.org.uk/points?person_id=322894&amp;year=2024&amp;type=national&amp;d=6","Results")</f>
        <v/>
      </c>
    </row>
    <row r="29">
      <c r="A29" t="inlineStr">
        <is>
          <t>28</t>
        </is>
      </c>
      <c r="B29" t="inlineStr">
        <is>
          <t>Bruce Johnston</t>
        </is>
      </c>
      <c r="C29" t="inlineStr">
        <is>
          <t>Pembrokeshire Velo</t>
        </is>
      </c>
      <c r="D29" t="inlineStr">
        <is>
          <t>216</t>
        </is>
      </c>
      <c r="E29" s="2">
        <f>HYPERLINK("https://www.britishcycling.org.uk/points?person_id=56563&amp;year=2024&amp;type=national&amp;d=6","Results")</f>
        <v/>
      </c>
    </row>
    <row r="30">
      <c r="A30" t="inlineStr">
        <is>
          <t>29</t>
        </is>
      </c>
      <c r="B30" t="inlineStr">
        <is>
          <t>Jake Edwards</t>
        </is>
      </c>
      <c r="C30" t="inlineStr">
        <is>
          <t>Cog Set Papyrus Racing Club</t>
        </is>
      </c>
      <c r="D30" t="inlineStr">
        <is>
          <t>215</t>
        </is>
      </c>
      <c r="E30" s="2">
        <f>HYPERLINK("https://www.britishcycling.org.uk/points?person_id=402349&amp;year=2024&amp;type=national&amp;d=6","Results")</f>
        <v/>
      </c>
    </row>
    <row r="31">
      <c r="A31" t="inlineStr">
        <is>
          <t>30</t>
        </is>
      </c>
      <c r="B31" t="inlineStr">
        <is>
          <t>Steven James</t>
        </is>
      </c>
      <c r="C31" t="inlineStr">
        <is>
          <t>Hope Factory Racing</t>
        </is>
      </c>
      <c r="D31" t="inlineStr">
        <is>
          <t>213</t>
        </is>
      </c>
      <c r="E31" s="2">
        <f>HYPERLINK("https://www.britishcycling.org.uk/points?person_id=57116&amp;year=2024&amp;type=national&amp;d=6","Results")</f>
        <v/>
      </c>
    </row>
    <row r="32">
      <c r="A32" t="inlineStr">
        <is>
          <t>31</t>
        </is>
      </c>
      <c r="B32" t="inlineStr">
        <is>
          <t>Thomas Crapper</t>
        </is>
      </c>
      <c r="C32" t="inlineStr">
        <is>
          <t>Magspeed Racing</t>
        </is>
      </c>
      <c r="D32" t="inlineStr">
        <is>
          <t>211</t>
        </is>
      </c>
      <c r="E32" s="2">
        <f>HYPERLINK("https://www.britishcycling.org.uk/points?person_id=199866&amp;year=2024&amp;type=national&amp;d=6","Results")</f>
        <v/>
      </c>
    </row>
    <row r="33">
      <c r="A33" t="inlineStr">
        <is>
          <t>32</t>
        </is>
      </c>
      <c r="B33" t="inlineStr">
        <is>
          <t>Ben Askey</t>
        </is>
      </c>
      <c r="C33" t="inlineStr">
        <is>
          <t>Groupama-FDJ La Conti</t>
        </is>
      </c>
      <c r="D33" t="inlineStr">
        <is>
          <t>210</t>
        </is>
      </c>
      <c r="E33" s="2">
        <f>HYPERLINK("https://www.britishcycling.org.uk/points?person_id=47284&amp;year=2024&amp;type=national&amp;d=6","Results")</f>
        <v/>
      </c>
    </row>
    <row r="34">
      <c r="A34" t="inlineStr">
        <is>
          <t>33</t>
        </is>
      </c>
      <c r="B34" t="inlineStr">
        <is>
          <t>Jack Parnaby</t>
        </is>
      </c>
      <c r="C34" t="inlineStr">
        <is>
          <t>Shibden Cycling Club</t>
        </is>
      </c>
      <c r="D34" t="inlineStr">
        <is>
          <t>210</t>
        </is>
      </c>
      <c r="E34" s="2">
        <f>HYPERLINK("https://www.britishcycling.org.uk/points?person_id=870368&amp;year=2024&amp;type=national&amp;d=6","Results")</f>
        <v/>
      </c>
    </row>
    <row r="35">
      <c r="A35" t="inlineStr">
        <is>
          <t>34</t>
        </is>
      </c>
      <c r="B35" t="inlineStr">
        <is>
          <t>Oscar Hutchings</t>
        </is>
      </c>
      <c r="C35" t="inlineStr">
        <is>
          <t>Mudbath CC</t>
        </is>
      </c>
      <c r="D35" t="inlineStr">
        <is>
          <t>208</t>
        </is>
      </c>
      <c r="E35" s="2">
        <f>HYPERLINK("https://www.britishcycling.org.uk/points?person_id=129343&amp;year=2024&amp;type=national&amp;d=6","Results")</f>
        <v/>
      </c>
    </row>
    <row r="36">
      <c r="A36" t="inlineStr">
        <is>
          <t>35</t>
        </is>
      </c>
      <c r="B36" t="inlineStr">
        <is>
          <t>David Bone</t>
        </is>
      </c>
      <c r="C36" t="inlineStr">
        <is>
          <t>Racing Club Ravenna</t>
        </is>
      </c>
      <c r="D36" t="inlineStr">
        <is>
          <t>206</t>
        </is>
      </c>
      <c r="E36" s="2">
        <f>HYPERLINK("https://www.britishcycling.org.uk/points?person_id=525858&amp;year=2024&amp;type=national&amp;d=6","Results")</f>
        <v/>
      </c>
    </row>
    <row r="37">
      <c r="A37" t="inlineStr">
        <is>
          <t>36</t>
        </is>
      </c>
      <c r="B37" t="inlineStr">
        <is>
          <t>George Thompson</t>
        </is>
      </c>
      <c r="C37" t="inlineStr">
        <is>
          <t>Rose Race Team</t>
        </is>
      </c>
      <c r="D37" t="inlineStr">
        <is>
          <t>200</t>
        </is>
      </c>
      <c r="E37" s="2">
        <f>HYPERLINK("https://www.britishcycling.org.uk/points?person_id=52376&amp;year=2024&amp;type=national&amp;d=6","Results")</f>
        <v/>
      </c>
    </row>
    <row r="38">
      <c r="A38" t="inlineStr">
        <is>
          <t>37</t>
        </is>
      </c>
      <c r="B38" t="inlineStr">
        <is>
          <t>Joseph Beckingsale</t>
        </is>
      </c>
      <c r="C38" t="inlineStr">
        <is>
          <t>Montezuma's Eventrex Race Team</t>
        </is>
      </c>
      <c r="D38" t="inlineStr">
        <is>
          <t>194</t>
        </is>
      </c>
      <c r="E38" s="2">
        <f>HYPERLINK("https://www.britishcycling.org.uk/points?person_id=48781&amp;year=2024&amp;type=national&amp;d=6","Results")</f>
        <v/>
      </c>
    </row>
    <row r="39">
      <c r="A39" t="inlineStr">
        <is>
          <t>38</t>
        </is>
      </c>
      <c r="B39" t="inlineStr">
        <is>
          <t>Joe Coukham</t>
        </is>
      </c>
      <c r="C39" t="inlineStr">
        <is>
          <t>Ribble - Verge Sport</t>
        </is>
      </c>
      <c r="D39" t="inlineStr">
        <is>
          <t>187</t>
        </is>
      </c>
      <c r="E39" s="2">
        <f>HYPERLINK("https://www.britishcycling.org.uk/points?person_id=379662&amp;year=2024&amp;type=national&amp;d=6","Results")</f>
        <v/>
      </c>
    </row>
    <row r="40">
      <c r="A40" t="inlineStr">
        <is>
          <t>39</t>
        </is>
      </c>
      <c r="B40" t="inlineStr">
        <is>
          <t>Dan Clark</t>
        </is>
      </c>
      <c r="C40" t="inlineStr">
        <is>
          <t>Magspeed Racing</t>
        </is>
      </c>
      <c r="D40" t="inlineStr">
        <is>
          <t>185</t>
        </is>
      </c>
      <c r="E40" s="2">
        <f>HYPERLINK("https://www.britishcycling.org.uk/points?person_id=702643&amp;year=2024&amp;type=national&amp;d=6","Results")</f>
        <v/>
      </c>
    </row>
    <row r="41">
      <c r="A41" t="inlineStr">
        <is>
          <t>40</t>
        </is>
      </c>
      <c r="B41" t="inlineStr">
        <is>
          <t>Joe Thorp</t>
        </is>
      </c>
      <c r="C41" t="inlineStr">
        <is>
          <t>Ribble rechrg Race Team</t>
        </is>
      </c>
      <c r="D41" t="inlineStr">
        <is>
          <t>176</t>
        </is>
      </c>
      <c r="E41" s="2">
        <f>HYPERLINK("https://www.britishcycling.org.uk/points?person_id=205090&amp;year=2024&amp;type=national&amp;d=6","Results")</f>
        <v/>
      </c>
    </row>
    <row r="42">
      <c r="A42" t="inlineStr">
        <is>
          <t>41</t>
        </is>
      </c>
      <c r="B42" t="inlineStr">
        <is>
          <t>Declan Egan</t>
        </is>
      </c>
      <c r="C42" t="inlineStr">
        <is>
          <t>Kingston Wheelers CC</t>
        </is>
      </c>
      <c r="D42" t="inlineStr">
        <is>
          <t>175</t>
        </is>
      </c>
      <c r="E42" s="2">
        <f>HYPERLINK("https://www.britishcycling.org.uk/points?person_id=257462&amp;year=2024&amp;type=national&amp;d=6","Results")</f>
        <v/>
      </c>
    </row>
    <row r="43">
      <c r="A43" t="inlineStr">
        <is>
          <t>42</t>
        </is>
      </c>
      <c r="B43" t="inlineStr">
        <is>
          <t>Ashley Dennis</t>
        </is>
      </c>
      <c r="C43" t="inlineStr"/>
      <c r="D43" t="inlineStr">
        <is>
          <t>174</t>
        </is>
      </c>
      <c r="E43" s="2">
        <f>HYPERLINK("https://www.britishcycling.org.uk/points?person_id=15660&amp;year=2024&amp;type=national&amp;d=6","Results")</f>
        <v/>
      </c>
    </row>
    <row r="44">
      <c r="A44" t="inlineStr">
        <is>
          <t>43</t>
        </is>
      </c>
      <c r="B44" t="inlineStr">
        <is>
          <t>Omar Malik</t>
        </is>
      </c>
      <c r="C44" t="inlineStr">
        <is>
          <t>Southborough &amp; District Whls</t>
        </is>
      </c>
      <c r="D44" t="inlineStr">
        <is>
          <t>174</t>
        </is>
      </c>
      <c r="E44" s="2">
        <f>HYPERLINK("https://www.britishcycling.org.uk/points?person_id=352331&amp;year=2024&amp;type=national&amp;d=6","Results")</f>
        <v/>
      </c>
    </row>
    <row r="45">
      <c r="A45" t="inlineStr">
        <is>
          <t>44</t>
        </is>
      </c>
      <c r="B45" t="inlineStr">
        <is>
          <t>William Weatherill</t>
        </is>
      </c>
      <c r="C45" t="inlineStr">
        <is>
          <t>Hope Factory Racing</t>
        </is>
      </c>
      <c r="D45" t="inlineStr">
        <is>
          <t>171</t>
        </is>
      </c>
      <c r="E45" s="2">
        <f>HYPERLINK("https://www.britishcycling.org.uk/points?person_id=764909&amp;year=2024&amp;type=national&amp;d=6","Results")</f>
        <v/>
      </c>
    </row>
    <row r="46">
      <c r="A46" t="inlineStr">
        <is>
          <t>45</t>
        </is>
      </c>
      <c r="B46" t="inlineStr">
        <is>
          <t>Oscar Hoult</t>
        </is>
      </c>
      <c r="C46" t="inlineStr">
        <is>
          <t>Velo Club Venta</t>
        </is>
      </c>
      <c r="D46" t="inlineStr">
        <is>
          <t>169</t>
        </is>
      </c>
      <c r="E46" s="2">
        <f>HYPERLINK("https://www.britishcycling.org.uk/points?person_id=1003145&amp;year=2024&amp;type=national&amp;d=6","Results")</f>
        <v/>
      </c>
    </row>
    <row r="47">
      <c r="A47" t="inlineStr">
        <is>
          <t>46</t>
        </is>
      </c>
      <c r="B47" t="inlineStr">
        <is>
          <t>Callum Evans</t>
        </is>
      </c>
      <c r="C47" t="inlineStr">
        <is>
          <t>Team Pau</t>
        </is>
      </c>
      <c r="D47" t="inlineStr">
        <is>
          <t>168</t>
        </is>
      </c>
      <c r="E47" s="2">
        <f>HYPERLINK("https://www.britishcycling.org.uk/points?person_id=735592&amp;year=2024&amp;type=national&amp;d=6","Results")</f>
        <v/>
      </c>
    </row>
    <row r="48">
      <c r="A48" t="inlineStr">
        <is>
          <t>47</t>
        </is>
      </c>
      <c r="B48" t="inlineStr">
        <is>
          <t>Rowan Baxter</t>
        </is>
      </c>
      <c r="C48" t="inlineStr">
        <is>
          <t>Shibden Cycling Club</t>
        </is>
      </c>
      <c r="D48" t="inlineStr">
        <is>
          <t>165</t>
        </is>
      </c>
      <c r="E48" s="2">
        <f>HYPERLINK("https://www.britishcycling.org.uk/points?person_id=314080&amp;year=2024&amp;type=national&amp;d=6","Results")</f>
        <v/>
      </c>
    </row>
    <row r="49">
      <c r="A49" t="inlineStr">
        <is>
          <t>48</t>
        </is>
      </c>
      <c r="B49" t="inlineStr">
        <is>
          <t>Robin Godden</t>
        </is>
      </c>
      <c r="C49" t="inlineStr">
        <is>
          <t>Hope Factory Racing</t>
        </is>
      </c>
      <c r="D49" t="inlineStr">
        <is>
          <t>164</t>
        </is>
      </c>
      <c r="E49" s="2">
        <f>HYPERLINK("https://www.britishcycling.org.uk/points?person_id=585475&amp;year=2024&amp;type=national&amp;d=6","Results")</f>
        <v/>
      </c>
    </row>
    <row r="50">
      <c r="A50" t="inlineStr">
        <is>
          <t>49</t>
        </is>
      </c>
      <c r="B50" t="inlineStr">
        <is>
          <t>Michael Cooke</t>
        </is>
      </c>
      <c r="C50" t="inlineStr">
        <is>
          <t>Nottingham Clarion CC</t>
        </is>
      </c>
      <c r="D50" t="inlineStr">
        <is>
          <t>161</t>
        </is>
      </c>
      <c r="E50" s="2">
        <f>HYPERLINK("https://www.britishcycling.org.uk/points?person_id=266345&amp;year=2024&amp;type=national&amp;d=6","Results")</f>
        <v/>
      </c>
    </row>
    <row r="51">
      <c r="A51" t="inlineStr">
        <is>
          <t>50</t>
        </is>
      </c>
      <c r="B51" t="inlineStr">
        <is>
          <t>Frederik Scheske</t>
        </is>
      </c>
      <c r="C51" t="inlineStr">
        <is>
          <t>Spectra Racing p/b DAS</t>
        </is>
      </c>
      <c r="D51" t="inlineStr">
        <is>
          <t>161</t>
        </is>
      </c>
      <c r="E51" s="2">
        <f>HYPERLINK("https://www.britishcycling.org.uk/points?person_id=393705&amp;year=2024&amp;type=national&amp;d=6","Results")</f>
        <v/>
      </c>
    </row>
    <row r="52">
      <c r="A52" t="inlineStr">
        <is>
          <t>51</t>
        </is>
      </c>
      <c r="B52" t="inlineStr">
        <is>
          <t>Max Avery</t>
        </is>
      </c>
      <c r="C52" t="inlineStr">
        <is>
          <t>Colchester Rovers CC</t>
        </is>
      </c>
      <c r="D52" t="inlineStr">
        <is>
          <t>160</t>
        </is>
      </c>
      <c r="E52" s="2">
        <f>HYPERLINK("https://www.britishcycling.org.uk/points?person_id=677435&amp;year=2024&amp;type=national&amp;d=6","Results")</f>
        <v/>
      </c>
    </row>
    <row r="53">
      <c r="A53" t="inlineStr">
        <is>
          <t>52</t>
        </is>
      </c>
      <c r="B53" t="inlineStr">
        <is>
          <t>Stefan Partridge</t>
        </is>
      </c>
      <c r="C53" t="inlineStr">
        <is>
          <t>Bolsover &amp; District Cycling Club</t>
        </is>
      </c>
      <c r="D53" t="inlineStr">
        <is>
          <t>150</t>
        </is>
      </c>
      <c r="E53" s="2">
        <f>HYPERLINK("https://www.britishcycling.org.uk/points?person_id=117123&amp;year=2024&amp;type=national&amp;d=6","Results")</f>
        <v/>
      </c>
    </row>
    <row r="54">
      <c r="A54" t="inlineStr">
        <is>
          <t>53</t>
        </is>
      </c>
      <c r="B54" t="inlineStr">
        <is>
          <t>Jim Vernon</t>
        </is>
      </c>
      <c r="C54" t="inlineStr">
        <is>
          <t>Ride Revolution Coaching</t>
        </is>
      </c>
      <c r="D54" t="inlineStr">
        <is>
          <t>150</t>
        </is>
      </c>
      <c r="E54" s="2">
        <f>HYPERLINK("https://www.britishcycling.org.uk/points?person_id=837962&amp;year=2024&amp;type=national&amp;d=6","Results")</f>
        <v/>
      </c>
    </row>
    <row r="55">
      <c r="A55" t="inlineStr">
        <is>
          <t>54</t>
        </is>
      </c>
      <c r="B55" t="inlineStr">
        <is>
          <t>Alex Harvey</t>
        </is>
      </c>
      <c r="C55" t="inlineStr">
        <is>
          <t>Brighton Excelsior CC</t>
        </is>
      </c>
      <c r="D55" t="inlineStr">
        <is>
          <t>148</t>
        </is>
      </c>
      <c r="E55" s="2">
        <f>HYPERLINK("https://www.britishcycling.org.uk/points?person_id=125495&amp;year=2024&amp;type=national&amp;d=6","Results")</f>
        <v/>
      </c>
    </row>
    <row r="56">
      <c r="A56" t="inlineStr">
        <is>
          <t>55</t>
        </is>
      </c>
      <c r="B56" t="inlineStr">
        <is>
          <t>James Swadling</t>
        </is>
      </c>
      <c r="C56" t="inlineStr">
        <is>
          <t>Pedal Power Loughborough</t>
        </is>
      </c>
      <c r="D56" t="inlineStr">
        <is>
          <t>148</t>
        </is>
      </c>
      <c r="E56" s="2">
        <f>HYPERLINK("https://www.britishcycling.org.uk/points?person_id=3559&amp;year=2024&amp;type=national&amp;d=6","Results")</f>
        <v/>
      </c>
    </row>
    <row r="57">
      <c r="A57" t="inlineStr">
        <is>
          <t>56</t>
        </is>
      </c>
      <c r="B57" t="inlineStr">
        <is>
          <t>Michael Burke</t>
        </is>
      </c>
      <c r="C57" t="inlineStr">
        <is>
          <t>Club Corley Cycles RC</t>
        </is>
      </c>
      <c r="D57" t="inlineStr">
        <is>
          <t>147</t>
        </is>
      </c>
      <c r="E57" s="2">
        <f>HYPERLINK("https://www.britishcycling.org.uk/points?person_id=243017&amp;year=2024&amp;type=national&amp;d=6","Results")</f>
        <v/>
      </c>
    </row>
    <row r="58">
      <c r="A58" t="inlineStr">
        <is>
          <t>57</t>
        </is>
      </c>
      <c r="B58" t="inlineStr">
        <is>
          <t>Joel Hurt</t>
        </is>
      </c>
      <c r="C58" t="inlineStr">
        <is>
          <t>Ribble - Verge Sport</t>
        </is>
      </c>
      <c r="D58" t="inlineStr">
        <is>
          <t>147</t>
        </is>
      </c>
      <c r="E58" s="2">
        <f>HYPERLINK("https://www.britishcycling.org.uk/points?person_id=218581&amp;year=2024&amp;type=national&amp;d=6","Results")</f>
        <v/>
      </c>
    </row>
    <row r="59">
      <c r="A59" t="inlineStr">
        <is>
          <t>58</t>
        </is>
      </c>
      <c r="B59" t="inlineStr">
        <is>
          <t>Corey Bale</t>
        </is>
      </c>
      <c r="C59" t="inlineStr">
        <is>
          <t>BGE</t>
        </is>
      </c>
      <c r="D59" t="inlineStr">
        <is>
          <t>146</t>
        </is>
      </c>
      <c r="E59" s="2">
        <f>HYPERLINK("https://www.britishcycling.org.uk/points?person_id=348436&amp;year=2024&amp;type=national&amp;d=6","Results")</f>
        <v/>
      </c>
    </row>
    <row r="60">
      <c r="A60" t="inlineStr">
        <is>
          <t>59</t>
        </is>
      </c>
      <c r="B60" t="inlineStr">
        <is>
          <t>Theo Clarke</t>
        </is>
      </c>
      <c r="C60" t="inlineStr"/>
      <c r="D60" t="inlineStr">
        <is>
          <t>146</t>
        </is>
      </c>
      <c r="E60" s="2">
        <f>HYPERLINK("https://www.britishcycling.org.uk/points?person_id=747034&amp;year=2024&amp;type=national&amp;d=6","Results")</f>
        <v/>
      </c>
    </row>
    <row r="61">
      <c r="A61" t="inlineStr">
        <is>
          <t>60</t>
        </is>
      </c>
      <c r="B61" t="inlineStr">
        <is>
          <t>Matthew Wight</t>
        </is>
      </c>
      <c r="C61" t="inlineStr">
        <is>
          <t>Verulam - reallymoving.com</t>
        </is>
      </c>
      <c r="D61" t="inlineStr">
        <is>
          <t>146</t>
        </is>
      </c>
      <c r="E61" s="2">
        <f>HYPERLINK("https://www.britishcycling.org.uk/points?person_id=1040177&amp;year=2024&amp;type=national&amp;d=6","Results")</f>
        <v/>
      </c>
    </row>
    <row r="62">
      <c r="A62" t="inlineStr">
        <is>
          <t>61</t>
        </is>
      </c>
      <c r="B62" t="inlineStr">
        <is>
          <t>Benjamin Bright</t>
        </is>
      </c>
      <c r="C62" t="inlineStr">
        <is>
          <t>MUC-OFF-SRCT-STORCK</t>
        </is>
      </c>
      <c r="D62" t="inlineStr">
        <is>
          <t>143</t>
        </is>
      </c>
      <c r="E62" s="2">
        <f>HYPERLINK("https://www.britishcycling.org.uk/points?person_id=100935&amp;year=2024&amp;type=national&amp;d=6","Results")</f>
        <v/>
      </c>
    </row>
    <row r="63">
      <c r="A63" t="inlineStr">
        <is>
          <t>62</t>
        </is>
      </c>
      <c r="B63" t="inlineStr">
        <is>
          <t>Alex Watkins</t>
        </is>
      </c>
      <c r="C63" t="inlineStr">
        <is>
          <t>Sarum Velo</t>
        </is>
      </c>
      <c r="D63" t="inlineStr">
        <is>
          <t>143</t>
        </is>
      </c>
      <c r="E63" s="2">
        <f>HYPERLINK("https://www.britishcycling.org.uk/points?person_id=497423&amp;year=2024&amp;type=national&amp;d=6","Results")</f>
        <v/>
      </c>
    </row>
    <row r="64">
      <c r="A64" t="inlineStr">
        <is>
          <t>63</t>
        </is>
      </c>
      <c r="B64" t="inlineStr">
        <is>
          <t>Eli Tucker</t>
        </is>
      </c>
      <c r="C64" t="inlineStr"/>
      <c r="D64" t="inlineStr">
        <is>
          <t>142</t>
        </is>
      </c>
      <c r="E64" s="2">
        <f>HYPERLINK("https://www.britishcycling.org.uk/points?person_id=277814&amp;year=2024&amp;type=national&amp;d=6","Results")</f>
        <v/>
      </c>
    </row>
    <row r="65">
      <c r="A65" t="inlineStr">
        <is>
          <t>64</t>
        </is>
      </c>
      <c r="B65" t="inlineStr">
        <is>
          <t>Benjamin Horrobin</t>
        </is>
      </c>
      <c r="C65" t="inlineStr">
        <is>
          <t>360cycling</t>
        </is>
      </c>
      <c r="D65" t="inlineStr">
        <is>
          <t>140</t>
        </is>
      </c>
      <c r="E65" s="2">
        <f>HYPERLINK("https://www.britishcycling.org.uk/points?person_id=265363&amp;year=2024&amp;type=national&amp;d=6","Results")</f>
        <v/>
      </c>
    </row>
    <row r="66">
      <c r="A66" t="inlineStr">
        <is>
          <t>65</t>
        </is>
      </c>
      <c r="B66" t="inlineStr">
        <is>
          <t>Richard Jones</t>
        </is>
      </c>
      <c r="C66" t="inlineStr">
        <is>
          <t>Leadout Performance</t>
        </is>
      </c>
      <c r="D66" t="inlineStr">
        <is>
          <t>140</t>
        </is>
      </c>
      <c r="E66" s="2">
        <f>HYPERLINK("https://www.britishcycling.org.uk/points?person_id=131876&amp;year=2024&amp;type=national&amp;d=6","Results")</f>
        <v/>
      </c>
    </row>
    <row r="67">
      <c r="A67" t="inlineStr">
        <is>
          <t>66</t>
        </is>
      </c>
      <c r="B67" t="inlineStr">
        <is>
          <t>Jack Hastings</t>
        </is>
      </c>
      <c r="C67" t="inlineStr">
        <is>
          <t>Cardiff JIF</t>
        </is>
      </c>
      <c r="D67" t="inlineStr">
        <is>
          <t>138</t>
        </is>
      </c>
      <c r="E67" s="2">
        <f>HYPERLINK("https://www.britishcycling.org.uk/points?person_id=251328&amp;year=2024&amp;type=national&amp;d=6","Results")</f>
        <v/>
      </c>
    </row>
    <row r="68">
      <c r="A68" t="inlineStr">
        <is>
          <t>67</t>
        </is>
      </c>
      <c r="B68" t="inlineStr">
        <is>
          <t>Jake Jackson</t>
        </is>
      </c>
      <c r="C68" t="inlineStr">
        <is>
          <t>MUC-OFF-SRCT-STORCK</t>
        </is>
      </c>
      <c r="D68" t="inlineStr">
        <is>
          <t>137</t>
        </is>
      </c>
      <c r="E68" s="2">
        <f>HYPERLINK("https://www.britishcycling.org.uk/points?person_id=410195&amp;year=2024&amp;type=national&amp;d=6","Results")</f>
        <v/>
      </c>
    </row>
    <row r="69">
      <c r="A69" t="inlineStr">
        <is>
          <t>68</t>
        </is>
      </c>
      <c r="B69" t="inlineStr">
        <is>
          <t>Dylan Cherruault</t>
        </is>
      </c>
      <c r="C69" t="inlineStr">
        <is>
          <t>Avid Sport</t>
        </is>
      </c>
      <c r="D69" t="inlineStr">
        <is>
          <t>135</t>
        </is>
      </c>
      <c r="E69" s="2">
        <f>HYPERLINK("https://www.britishcycling.org.uk/points?person_id=615296&amp;year=2024&amp;type=national&amp;d=6","Results")</f>
        <v/>
      </c>
    </row>
    <row r="70">
      <c r="A70" t="inlineStr">
        <is>
          <t>69</t>
        </is>
      </c>
      <c r="B70" t="inlineStr">
        <is>
          <t>James Elves</t>
        </is>
      </c>
      <c r="C70" t="inlineStr">
        <is>
          <t>Reifen Racing</t>
        </is>
      </c>
      <c r="D70" t="inlineStr">
        <is>
          <t>132</t>
        </is>
      </c>
      <c r="E70" s="2">
        <f>HYPERLINK("https://www.britishcycling.org.uk/points?person_id=880319&amp;year=2024&amp;type=national&amp;d=6","Results")</f>
        <v/>
      </c>
    </row>
    <row r="71">
      <c r="A71" t="inlineStr">
        <is>
          <t>70</t>
        </is>
      </c>
      <c r="B71" t="inlineStr">
        <is>
          <t>Oliver Saunders</t>
        </is>
      </c>
      <c r="C71" t="inlineStr">
        <is>
          <t>Newark Castle CC</t>
        </is>
      </c>
      <c r="D71" t="inlineStr">
        <is>
          <t>132</t>
        </is>
      </c>
      <c r="E71" s="2">
        <f>HYPERLINK("https://www.britishcycling.org.uk/points?person_id=1050736&amp;year=2024&amp;type=national&amp;d=6","Results")</f>
        <v/>
      </c>
    </row>
    <row r="72">
      <c r="A72" t="inlineStr">
        <is>
          <t>71</t>
        </is>
      </c>
      <c r="B72" t="inlineStr">
        <is>
          <t>Nathan Wilson</t>
        </is>
      </c>
      <c r="C72" t="inlineStr">
        <is>
          <t>Wilsons Wheels Race Team</t>
        </is>
      </c>
      <c r="D72" t="inlineStr">
        <is>
          <t>132</t>
        </is>
      </c>
      <c r="E72" s="2">
        <f>HYPERLINK("https://www.britishcycling.org.uk/points?person_id=29665&amp;year=2024&amp;type=national&amp;d=6","Results")</f>
        <v/>
      </c>
    </row>
    <row r="73">
      <c r="A73" t="inlineStr">
        <is>
          <t>72</t>
        </is>
      </c>
      <c r="B73" t="inlineStr">
        <is>
          <t>Michael Stimson</t>
        </is>
      </c>
      <c r="C73" t="inlineStr">
        <is>
          <t>Athlon CC</t>
        </is>
      </c>
      <c r="D73" t="inlineStr">
        <is>
          <t>130</t>
        </is>
      </c>
      <c r="E73" s="2">
        <f>HYPERLINK("https://www.britishcycling.org.uk/points?person_id=533869&amp;year=2024&amp;type=national&amp;d=6","Results")</f>
        <v/>
      </c>
    </row>
    <row r="74">
      <c r="A74" t="inlineStr">
        <is>
          <t>73</t>
        </is>
      </c>
      <c r="B74" t="inlineStr">
        <is>
          <t>Finn Mansfield</t>
        </is>
      </c>
      <c r="C74" t="inlineStr">
        <is>
          <t>Grity Race Team</t>
        </is>
      </c>
      <c r="D74" t="inlineStr">
        <is>
          <t>128</t>
        </is>
      </c>
      <c r="E74" s="2">
        <f>HYPERLINK("https://www.britishcycling.org.uk/points?person_id=185354&amp;year=2024&amp;type=national&amp;d=6","Results")</f>
        <v/>
      </c>
    </row>
    <row r="75">
      <c r="A75" t="inlineStr">
        <is>
          <t>74</t>
        </is>
      </c>
      <c r="B75" t="inlineStr">
        <is>
          <t>Josh Palfreyman</t>
        </is>
      </c>
      <c r="C75" t="inlineStr">
        <is>
          <t>Histon &amp; Impington Bicycle Club</t>
        </is>
      </c>
      <c r="D75" t="inlineStr">
        <is>
          <t>128</t>
        </is>
      </c>
      <c r="E75" s="2">
        <f>HYPERLINK("https://www.britishcycling.org.uk/points?person_id=516188&amp;year=2024&amp;type=national&amp;d=6","Results")</f>
        <v/>
      </c>
    </row>
    <row r="76">
      <c r="A76" t="inlineStr">
        <is>
          <t>75</t>
        </is>
      </c>
      <c r="B76" t="inlineStr">
        <is>
          <t>James Turnbull</t>
        </is>
      </c>
      <c r="C76" t="inlineStr">
        <is>
          <t>Albarosa Cycling Club</t>
        </is>
      </c>
      <c r="D76" t="inlineStr">
        <is>
          <t>128</t>
        </is>
      </c>
      <c r="E76" s="2">
        <f>HYPERLINK("https://www.britishcycling.org.uk/points?person_id=881614&amp;year=2024&amp;type=national&amp;d=6","Results")</f>
        <v/>
      </c>
    </row>
    <row r="77">
      <c r="A77" t="inlineStr">
        <is>
          <t>76</t>
        </is>
      </c>
      <c r="B77" t="inlineStr">
        <is>
          <t>Daniel Hunt</t>
        </is>
      </c>
      <c r="C77" t="inlineStr">
        <is>
          <t>Lichfield City CC</t>
        </is>
      </c>
      <c r="D77" t="inlineStr">
        <is>
          <t>127</t>
        </is>
      </c>
      <c r="E77" s="2">
        <f>HYPERLINK("https://www.britishcycling.org.uk/points?person_id=770343&amp;year=2024&amp;type=national&amp;d=6","Results")</f>
        <v/>
      </c>
    </row>
    <row r="78">
      <c r="A78" t="inlineStr">
        <is>
          <t>77</t>
        </is>
      </c>
      <c r="B78" t="inlineStr">
        <is>
          <t>Cai Davies</t>
        </is>
      </c>
      <c r="C78" t="inlineStr">
        <is>
          <t>Richardsons Trek DAS</t>
        </is>
      </c>
      <c r="D78" t="inlineStr">
        <is>
          <t>126</t>
        </is>
      </c>
      <c r="E78" s="2">
        <f>HYPERLINK("https://www.britishcycling.org.uk/points?person_id=235228&amp;year=2024&amp;type=national&amp;d=6","Results")</f>
        <v/>
      </c>
    </row>
    <row r="79">
      <c r="A79" t="inlineStr">
        <is>
          <t>78</t>
        </is>
      </c>
      <c r="B79" t="inlineStr">
        <is>
          <t>Matt Lawton</t>
        </is>
      </c>
      <c r="C79" t="inlineStr">
        <is>
          <t>Macclesfield Wheelers</t>
        </is>
      </c>
      <c r="D79" t="inlineStr">
        <is>
          <t>126</t>
        </is>
      </c>
      <c r="E79" s="2">
        <f>HYPERLINK("https://www.britishcycling.org.uk/points?person_id=126705&amp;year=2024&amp;type=national&amp;d=6","Results")</f>
        <v/>
      </c>
    </row>
    <row r="80">
      <c r="A80" t="inlineStr">
        <is>
          <t>79</t>
        </is>
      </c>
      <c r="B80" t="inlineStr">
        <is>
          <t>Grant Scott</t>
        </is>
      </c>
      <c r="C80" t="inlineStr">
        <is>
          <t>Ronde Cycling Club</t>
        </is>
      </c>
      <c r="D80" t="inlineStr">
        <is>
          <t>123</t>
        </is>
      </c>
      <c r="E80" s="2">
        <f>HYPERLINK("https://www.britishcycling.org.uk/points?person_id=750552&amp;year=2024&amp;type=national&amp;d=6","Results")</f>
        <v/>
      </c>
    </row>
    <row r="81">
      <c r="A81" t="inlineStr">
        <is>
          <t>80</t>
        </is>
      </c>
      <c r="B81" t="inlineStr">
        <is>
          <t>Nicholas Craig</t>
        </is>
      </c>
      <c r="C81" t="inlineStr">
        <is>
          <t>SCOTT Pioneer DJ</t>
        </is>
      </c>
      <c r="D81" t="inlineStr">
        <is>
          <t>122</t>
        </is>
      </c>
      <c r="E81" s="2">
        <f>HYPERLINK("https://www.britishcycling.org.uk/points?person_id=12100&amp;year=2024&amp;type=national&amp;d=6","Results")</f>
        <v/>
      </c>
    </row>
    <row r="82">
      <c r="A82" t="inlineStr">
        <is>
          <t>81</t>
        </is>
      </c>
      <c r="B82" t="inlineStr">
        <is>
          <t>Ben Vangasse</t>
        </is>
      </c>
      <c r="C82" t="inlineStr">
        <is>
          <t>BW Cycling</t>
        </is>
      </c>
      <c r="D82" t="inlineStr">
        <is>
          <t>122</t>
        </is>
      </c>
      <c r="E82" s="2">
        <f>HYPERLINK("https://www.britishcycling.org.uk/points?person_id=876482&amp;year=2024&amp;type=national&amp;d=6","Results")</f>
        <v/>
      </c>
    </row>
    <row r="83">
      <c r="A83" t="inlineStr">
        <is>
          <t>82</t>
        </is>
      </c>
      <c r="B83" t="inlineStr">
        <is>
          <t>Sam Chisholm</t>
        </is>
      </c>
      <c r="C83" t="inlineStr">
        <is>
          <t>Team HUP</t>
        </is>
      </c>
      <c r="D83" t="inlineStr">
        <is>
          <t>121</t>
        </is>
      </c>
      <c r="E83" s="2">
        <f>HYPERLINK("https://www.britishcycling.org.uk/points?person_id=171146&amp;year=2024&amp;type=national&amp;d=6","Results")</f>
        <v/>
      </c>
    </row>
    <row r="84">
      <c r="A84" t="inlineStr">
        <is>
          <t>83</t>
        </is>
      </c>
      <c r="B84" t="inlineStr">
        <is>
          <t>Tom Ernest</t>
        </is>
      </c>
      <c r="C84" t="inlineStr">
        <is>
          <t>Ziggurat Racing</t>
        </is>
      </c>
      <c r="D84" t="inlineStr">
        <is>
          <t>121</t>
        </is>
      </c>
      <c r="E84" s="2">
        <f>HYPERLINK("https://www.britishcycling.org.uk/points?person_id=923082&amp;year=2024&amp;type=national&amp;d=6","Results")</f>
        <v/>
      </c>
    </row>
    <row r="85">
      <c r="A85" t="inlineStr">
        <is>
          <t>84</t>
        </is>
      </c>
      <c r="B85" t="inlineStr">
        <is>
          <t>Robert Williams</t>
        </is>
      </c>
      <c r="C85" t="inlineStr"/>
      <c r="D85" t="inlineStr">
        <is>
          <t>121</t>
        </is>
      </c>
      <c r="E85" s="2">
        <f>HYPERLINK("https://www.britishcycling.org.uk/points?person_id=12362&amp;year=2024&amp;type=national&amp;d=6","Results")</f>
        <v/>
      </c>
    </row>
    <row r="86">
      <c r="A86" t="inlineStr">
        <is>
          <t>85</t>
        </is>
      </c>
      <c r="B86" t="inlineStr">
        <is>
          <t>Neil Scott</t>
        </is>
      </c>
      <c r="C86" t="inlineStr">
        <is>
          <t>Deeside Thistle CC</t>
        </is>
      </c>
      <c r="D86" t="inlineStr">
        <is>
          <t>118</t>
        </is>
      </c>
      <c r="E86" s="2">
        <f>HYPERLINK("https://www.britishcycling.org.uk/points?person_id=246437&amp;year=2024&amp;type=national&amp;d=6","Results")</f>
        <v/>
      </c>
    </row>
    <row r="87">
      <c r="A87" t="inlineStr">
        <is>
          <t>86</t>
        </is>
      </c>
      <c r="B87" t="inlineStr">
        <is>
          <t>George Gould</t>
        </is>
      </c>
      <c r="C87" t="inlineStr">
        <is>
          <t>Watford Velo Sport</t>
        </is>
      </c>
      <c r="D87" t="inlineStr">
        <is>
          <t>115</t>
        </is>
      </c>
      <c r="E87" s="2">
        <f>HYPERLINK("https://www.britishcycling.org.uk/points?person_id=306284&amp;year=2024&amp;type=national&amp;d=6","Results")</f>
        <v/>
      </c>
    </row>
    <row r="88">
      <c r="A88" t="inlineStr">
        <is>
          <t>87</t>
        </is>
      </c>
      <c r="B88" t="inlineStr">
        <is>
          <t>Oliver Nolan</t>
        </is>
      </c>
      <c r="C88" t="inlineStr">
        <is>
          <t>Wightlink CRT</t>
        </is>
      </c>
      <c r="D88" t="inlineStr">
        <is>
          <t>115</t>
        </is>
      </c>
      <c r="E88" s="2">
        <f>HYPERLINK("https://www.britishcycling.org.uk/points?person_id=741572&amp;year=2024&amp;type=national&amp;d=6","Results")</f>
        <v/>
      </c>
    </row>
    <row r="89">
      <c r="A89" t="inlineStr">
        <is>
          <t>88</t>
        </is>
      </c>
      <c r="B89" t="inlineStr">
        <is>
          <t>Paddy Chapman</t>
        </is>
      </c>
      <c r="C89" t="inlineStr"/>
      <c r="D89" t="inlineStr">
        <is>
          <t>112</t>
        </is>
      </c>
      <c r="E89" s="2">
        <f>HYPERLINK("https://www.britishcycling.org.uk/points?person_id=1090833&amp;year=2024&amp;type=national&amp;d=6","Results")</f>
        <v/>
      </c>
    </row>
    <row r="90">
      <c r="A90" t="inlineStr">
        <is>
          <t>89</t>
        </is>
      </c>
      <c r="B90" t="inlineStr">
        <is>
          <t>Mark Richards</t>
        </is>
      </c>
      <c r="C90" t="inlineStr">
        <is>
          <t>DAP Cycling Club</t>
        </is>
      </c>
      <c r="D90" t="inlineStr">
        <is>
          <t>112</t>
        </is>
      </c>
      <c r="E90" s="2">
        <f>HYPERLINK("https://www.britishcycling.org.uk/points?person_id=487142&amp;year=2024&amp;type=national&amp;d=6","Results")</f>
        <v/>
      </c>
    </row>
    <row r="91">
      <c r="A91" t="inlineStr">
        <is>
          <t>90</t>
        </is>
      </c>
      <c r="B91" t="inlineStr">
        <is>
          <t>Jackie Chan</t>
        </is>
      </c>
      <c r="C91" t="inlineStr">
        <is>
          <t>Team Andrew Allan Architecture</t>
        </is>
      </c>
      <c r="D91" t="inlineStr">
        <is>
          <t>110</t>
        </is>
      </c>
      <c r="E91" s="2">
        <f>HYPERLINK("https://www.britishcycling.org.uk/points?person_id=653132&amp;year=2024&amp;type=national&amp;d=6","Results")</f>
        <v/>
      </c>
    </row>
    <row r="92">
      <c r="A92" t="inlineStr">
        <is>
          <t>91</t>
        </is>
      </c>
      <c r="B92" t="inlineStr">
        <is>
          <t>Joshua Ibbett</t>
        </is>
      </c>
      <c r="C92" t="inlineStr">
        <is>
          <t>Hunt Bike Wheels</t>
        </is>
      </c>
      <c r="D92" t="inlineStr">
        <is>
          <t>110</t>
        </is>
      </c>
      <c r="E92" s="2">
        <f>HYPERLINK("https://www.britishcycling.org.uk/points?person_id=51728&amp;year=2024&amp;type=national&amp;d=6","Results")</f>
        <v/>
      </c>
    </row>
    <row r="93">
      <c r="A93" t="inlineStr">
        <is>
          <t>92</t>
        </is>
      </c>
      <c r="B93" t="inlineStr">
        <is>
          <t>Lewis Tinsley</t>
        </is>
      </c>
      <c r="C93" t="inlineStr">
        <is>
          <t>BCC Race Team</t>
        </is>
      </c>
      <c r="D93" t="inlineStr">
        <is>
          <t>110</t>
        </is>
      </c>
      <c r="E93" s="2">
        <f>HYPERLINK("https://www.britishcycling.org.uk/points?person_id=285574&amp;year=2024&amp;type=national&amp;d=6","Results")</f>
        <v/>
      </c>
    </row>
    <row r="94">
      <c r="A94" t="inlineStr">
        <is>
          <t>93</t>
        </is>
      </c>
      <c r="B94" t="inlineStr">
        <is>
          <t>Dominic Bell</t>
        </is>
      </c>
      <c r="C94" t="inlineStr">
        <is>
          <t>C and N Cycles RT</t>
        </is>
      </c>
      <c r="D94" t="inlineStr">
        <is>
          <t>109</t>
        </is>
      </c>
      <c r="E94" s="2">
        <f>HYPERLINK("https://www.britishcycling.org.uk/points?person_id=404502&amp;year=2024&amp;type=national&amp;d=6","Results")</f>
        <v/>
      </c>
    </row>
    <row r="95">
      <c r="A95" t="inlineStr">
        <is>
          <t>94</t>
        </is>
      </c>
      <c r="B95" t="inlineStr">
        <is>
          <t>Grant Fraser</t>
        </is>
      </c>
      <c r="C95" t="inlineStr">
        <is>
          <t>G!RO Cycles</t>
        </is>
      </c>
      <c r="D95" t="inlineStr">
        <is>
          <t>108</t>
        </is>
      </c>
      <c r="E95" s="2">
        <f>HYPERLINK("https://www.britishcycling.org.uk/points?person_id=240650&amp;year=2024&amp;type=national&amp;d=6","Results")</f>
        <v/>
      </c>
    </row>
    <row r="96">
      <c r="A96" t="inlineStr">
        <is>
          <t>95</t>
        </is>
      </c>
      <c r="B96" t="inlineStr">
        <is>
          <t>Daniel Hall</t>
        </is>
      </c>
      <c r="C96" t="inlineStr">
        <is>
          <t>Colchester Rovers CC</t>
        </is>
      </c>
      <c r="D96" t="inlineStr">
        <is>
          <t>105</t>
        </is>
      </c>
      <c r="E96" s="2">
        <f>HYPERLINK("https://www.britishcycling.org.uk/points?person_id=176273&amp;year=2024&amp;type=national&amp;d=6","Results")</f>
        <v/>
      </c>
    </row>
    <row r="97">
      <c r="A97" t="inlineStr">
        <is>
          <t>96</t>
        </is>
      </c>
      <c r="B97" t="inlineStr">
        <is>
          <t>Tristan Davies</t>
        </is>
      </c>
      <c r="C97" t="inlineStr">
        <is>
          <t>CUBE Bikes</t>
        </is>
      </c>
      <c r="D97" t="inlineStr">
        <is>
          <t>104</t>
        </is>
      </c>
      <c r="E97" s="2">
        <f>HYPERLINK("https://www.britishcycling.org.uk/points?person_id=213373&amp;year=2024&amp;type=national&amp;d=6","Results")</f>
        <v/>
      </c>
    </row>
    <row r="98">
      <c r="A98" t="inlineStr">
        <is>
          <t>97</t>
        </is>
      </c>
      <c r="B98" t="inlineStr">
        <is>
          <t>Ciaran Lally</t>
        </is>
      </c>
      <c r="C98" t="inlineStr">
        <is>
          <t>Reifen Racing</t>
        </is>
      </c>
      <c r="D98" t="inlineStr">
        <is>
          <t>104</t>
        </is>
      </c>
      <c r="E98" s="2">
        <f>HYPERLINK("https://www.britishcycling.org.uk/points?person_id=338418&amp;year=2024&amp;type=national&amp;d=6","Results")</f>
        <v/>
      </c>
    </row>
    <row r="99">
      <c r="A99" t="inlineStr">
        <is>
          <t>98</t>
        </is>
      </c>
      <c r="B99" t="inlineStr">
        <is>
          <t>Ollie Maynard</t>
        </is>
      </c>
      <c r="C99" t="inlineStr">
        <is>
          <t>St Ives CC</t>
        </is>
      </c>
      <c r="D99" t="inlineStr">
        <is>
          <t>103</t>
        </is>
      </c>
      <c r="E99" s="2">
        <f>HYPERLINK("https://www.britishcycling.org.uk/points?person_id=673320&amp;year=2024&amp;type=national&amp;d=6","Results")</f>
        <v/>
      </c>
    </row>
    <row r="100">
      <c r="A100" t="inlineStr">
        <is>
          <t>99</t>
        </is>
      </c>
      <c r="B100" t="inlineStr">
        <is>
          <t>Ethan Pratten</t>
        </is>
      </c>
      <c r="C100" t="inlineStr">
        <is>
          <t>Cardiff JIF</t>
        </is>
      </c>
      <c r="D100" t="inlineStr">
        <is>
          <t>102</t>
        </is>
      </c>
      <c r="E100" s="2">
        <f>HYPERLINK("https://www.britishcycling.org.uk/points?person_id=240756&amp;year=2024&amp;type=national&amp;d=6","Results")</f>
        <v/>
      </c>
    </row>
    <row r="101">
      <c r="A101" t="inlineStr">
        <is>
          <t>100</t>
        </is>
      </c>
      <c r="B101" t="inlineStr">
        <is>
          <t>Nathan Wilson</t>
        </is>
      </c>
      <c r="C101" t="inlineStr">
        <is>
          <t>Ride Revolution Coaching</t>
        </is>
      </c>
      <c r="D101" t="inlineStr">
        <is>
          <t>101</t>
        </is>
      </c>
      <c r="E101" s="2">
        <f>HYPERLINK("https://www.britishcycling.org.uk/points?person_id=1020595&amp;year=2024&amp;type=national&amp;d=6","Results")</f>
        <v/>
      </c>
    </row>
    <row r="102">
      <c r="A102" t="inlineStr">
        <is>
          <t>101</t>
        </is>
      </c>
      <c r="B102" t="inlineStr">
        <is>
          <t>Andrew Moulden</t>
        </is>
      </c>
      <c r="C102" t="inlineStr">
        <is>
          <t>Lee Velo (South East London)</t>
        </is>
      </c>
      <c r="D102" t="inlineStr">
        <is>
          <t>100</t>
        </is>
      </c>
      <c r="E102" s="2">
        <f>HYPERLINK("https://www.britishcycling.org.uk/points?person_id=305190&amp;year=2024&amp;type=national&amp;d=6","Results")</f>
        <v/>
      </c>
    </row>
    <row r="103">
      <c r="A103" t="inlineStr">
        <is>
          <t>102</t>
        </is>
      </c>
      <c r="B103" t="inlineStr">
        <is>
          <t>Aidan Worden</t>
        </is>
      </c>
      <c r="C103" t="inlineStr">
        <is>
          <t>360cycling</t>
        </is>
      </c>
      <c r="D103" t="inlineStr">
        <is>
          <t>100</t>
        </is>
      </c>
      <c r="E103" s="2">
        <f>HYPERLINK("https://www.britishcycling.org.uk/points?person_id=456930&amp;year=2024&amp;type=national&amp;d=6","Results")</f>
        <v/>
      </c>
    </row>
    <row r="104">
      <c r="A104" t="inlineStr">
        <is>
          <t>103</t>
        </is>
      </c>
      <c r="B104" t="inlineStr">
        <is>
          <t>Richard Davidson</t>
        </is>
      </c>
      <c r="C104" t="inlineStr">
        <is>
          <t>Muckle Cycle Club</t>
        </is>
      </c>
      <c r="D104" t="inlineStr">
        <is>
          <t>98</t>
        </is>
      </c>
      <c r="E104" s="2">
        <f>HYPERLINK("https://www.britishcycling.org.uk/points?person_id=757404&amp;year=2024&amp;type=national&amp;d=6","Results")</f>
        <v/>
      </c>
    </row>
    <row r="105">
      <c r="A105" t="inlineStr">
        <is>
          <t>104</t>
        </is>
      </c>
      <c r="B105" t="inlineStr">
        <is>
          <t>Romain Lantoine</t>
        </is>
      </c>
      <c r="C105" t="inlineStr">
        <is>
          <t>Chorlton Velo</t>
        </is>
      </c>
      <c r="D105" t="inlineStr">
        <is>
          <t>98</t>
        </is>
      </c>
      <c r="E105" s="2">
        <f>HYPERLINK("https://www.britishcycling.org.uk/points?person_id=867591&amp;year=2024&amp;type=national&amp;d=6","Results")</f>
        <v/>
      </c>
    </row>
    <row r="106">
      <c r="A106" t="inlineStr">
        <is>
          <t>105</t>
        </is>
      </c>
      <c r="B106" t="inlineStr">
        <is>
          <t>Oliver Moss</t>
        </is>
      </c>
      <c r="C106" t="inlineStr">
        <is>
          <t>Clifton CC</t>
        </is>
      </c>
      <c r="D106" t="inlineStr">
        <is>
          <t>98</t>
        </is>
      </c>
      <c r="E106" s="2">
        <f>HYPERLINK("https://www.britishcycling.org.uk/points?person_id=580888&amp;year=2024&amp;type=national&amp;d=6","Results")</f>
        <v/>
      </c>
    </row>
    <row r="107">
      <c r="A107" t="inlineStr">
        <is>
          <t>106</t>
        </is>
      </c>
      <c r="B107" t="inlineStr">
        <is>
          <t>Ian Lee</t>
        </is>
      </c>
      <c r="C107" t="inlineStr">
        <is>
          <t>Royal Air Force CA</t>
        </is>
      </c>
      <c r="D107" t="inlineStr">
        <is>
          <t>96</t>
        </is>
      </c>
      <c r="E107" s="2">
        <f>HYPERLINK("https://www.britishcycling.org.uk/points?person_id=42448&amp;year=2024&amp;type=national&amp;d=6","Results")</f>
        <v/>
      </c>
    </row>
    <row r="108">
      <c r="A108" t="inlineStr">
        <is>
          <t>107</t>
        </is>
      </c>
      <c r="B108" t="inlineStr">
        <is>
          <t>Jake Hollins</t>
        </is>
      </c>
      <c r="C108" t="inlineStr"/>
      <c r="D108" t="inlineStr">
        <is>
          <t>94</t>
        </is>
      </c>
      <c r="E108" s="2">
        <f>HYPERLINK("https://www.britishcycling.org.uk/points?person_id=308432&amp;year=2024&amp;type=national&amp;d=6","Results")</f>
        <v/>
      </c>
    </row>
    <row r="109">
      <c r="A109" t="inlineStr">
        <is>
          <t>108</t>
        </is>
      </c>
      <c r="B109" t="inlineStr">
        <is>
          <t>Ryan Parkinson</t>
        </is>
      </c>
      <c r="C109" t="inlineStr">
        <is>
          <t>Muckle Cycle Club</t>
        </is>
      </c>
      <c r="D109" t="inlineStr">
        <is>
          <t>94</t>
        </is>
      </c>
      <c r="E109" s="2">
        <f>HYPERLINK("https://www.britishcycling.org.uk/points?person_id=655812&amp;year=2024&amp;type=national&amp;d=6","Results")</f>
        <v/>
      </c>
    </row>
    <row r="110">
      <c r="A110" t="inlineStr">
        <is>
          <t>109</t>
        </is>
      </c>
      <c r="B110" t="inlineStr">
        <is>
          <t>Travis Bramley</t>
        </is>
      </c>
      <c r="C110" t="inlineStr">
        <is>
          <t>Plymouth Corinthian CC</t>
        </is>
      </c>
      <c r="D110" t="inlineStr">
        <is>
          <t>92</t>
        </is>
      </c>
      <c r="E110" s="2">
        <f>HYPERLINK("https://www.britishcycling.org.uk/points?person_id=345720&amp;year=2024&amp;type=national&amp;d=6","Results")</f>
        <v/>
      </c>
    </row>
    <row r="111">
      <c r="A111" t="inlineStr">
        <is>
          <t>110</t>
        </is>
      </c>
      <c r="B111" t="inlineStr">
        <is>
          <t>Scott Richardson</t>
        </is>
      </c>
      <c r="C111" t="inlineStr">
        <is>
          <t>Newbury Velo</t>
        </is>
      </c>
      <c r="D111" t="inlineStr">
        <is>
          <t>92</t>
        </is>
      </c>
      <c r="E111" s="2">
        <f>HYPERLINK("https://www.britishcycling.org.uk/points?person_id=138511&amp;year=2024&amp;type=national&amp;d=6","Results")</f>
        <v/>
      </c>
    </row>
    <row r="112">
      <c r="A112" t="inlineStr">
        <is>
          <t>111</t>
        </is>
      </c>
      <c r="B112" t="inlineStr">
        <is>
          <t>Kyle Houston</t>
        </is>
      </c>
      <c r="C112" t="inlineStr">
        <is>
          <t>Albarosa Cycling Club</t>
        </is>
      </c>
      <c r="D112" t="inlineStr">
        <is>
          <t>91</t>
        </is>
      </c>
      <c r="E112" s="2">
        <f>HYPERLINK("https://www.britishcycling.org.uk/points?person_id=682912&amp;year=2024&amp;type=national&amp;d=6","Results")</f>
        <v/>
      </c>
    </row>
    <row r="113">
      <c r="A113" t="inlineStr">
        <is>
          <t>112</t>
        </is>
      </c>
      <c r="B113" t="inlineStr">
        <is>
          <t>Joseph Shepherd</t>
        </is>
      </c>
      <c r="C113" t="inlineStr">
        <is>
          <t>New Forest CC</t>
        </is>
      </c>
      <c r="D113" t="inlineStr">
        <is>
          <t>90</t>
        </is>
      </c>
      <c r="E113" s="2">
        <f>HYPERLINK("https://www.britishcycling.org.uk/points?person_id=802540&amp;year=2024&amp;type=national&amp;d=6","Results")</f>
        <v/>
      </c>
    </row>
    <row r="114">
      <c r="A114" t="inlineStr">
        <is>
          <t>113</t>
        </is>
      </c>
      <c r="B114" t="inlineStr">
        <is>
          <t>George Whitlock</t>
        </is>
      </c>
      <c r="C114" t="inlineStr">
        <is>
          <t>Mud Dock Racing</t>
        </is>
      </c>
      <c r="D114" t="inlineStr">
        <is>
          <t>88</t>
        </is>
      </c>
      <c r="E114" s="2">
        <f>HYPERLINK("https://www.britishcycling.org.uk/points?person_id=1012048&amp;year=2024&amp;type=national&amp;d=6","Results")</f>
        <v/>
      </c>
    </row>
    <row r="115">
      <c r="A115" t="inlineStr">
        <is>
          <t>114</t>
        </is>
      </c>
      <c r="B115" t="inlineStr">
        <is>
          <t>Mark Staples</t>
        </is>
      </c>
      <c r="C115" t="inlineStr">
        <is>
          <t>Lone Wolf Racing CLLCTV</t>
        </is>
      </c>
      <c r="D115" t="inlineStr">
        <is>
          <t>87</t>
        </is>
      </c>
      <c r="E115" s="2">
        <f>HYPERLINK("https://www.britishcycling.org.uk/points?person_id=379014&amp;year=2024&amp;type=national&amp;d=6","Results")</f>
        <v/>
      </c>
    </row>
    <row r="116">
      <c r="A116" t="inlineStr">
        <is>
          <t>115</t>
        </is>
      </c>
      <c r="B116" t="inlineStr">
        <is>
          <t>Ben Coppola</t>
        </is>
      </c>
      <c r="C116" t="inlineStr">
        <is>
          <t>SCOTT Pioneer DJ</t>
        </is>
      </c>
      <c r="D116" t="inlineStr">
        <is>
          <t>86</t>
        </is>
      </c>
      <c r="E116" s="2">
        <f>HYPERLINK("https://www.britishcycling.org.uk/points?person_id=139080&amp;year=2024&amp;type=national&amp;d=6","Results")</f>
        <v/>
      </c>
    </row>
    <row r="117">
      <c r="A117" t="inlineStr">
        <is>
          <t>116</t>
        </is>
      </c>
      <c r="B117" t="inlineStr">
        <is>
          <t>Charlie Mactear</t>
        </is>
      </c>
      <c r="C117" t="inlineStr">
        <is>
          <t>WestSide Coaching, 73 Degrees</t>
        </is>
      </c>
      <c r="D117" t="inlineStr">
        <is>
          <t>86</t>
        </is>
      </c>
      <c r="E117" s="2">
        <f>HYPERLINK("https://www.britishcycling.org.uk/points?person_id=883409&amp;year=2024&amp;type=national&amp;d=6","Results")</f>
        <v/>
      </c>
    </row>
    <row r="118">
      <c r="A118" t="inlineStr">
        <is>
          <t>117</t>
        </is>
      </c>
      <c r="B118" t="inlineStr">
        <is>
          <t>Luke Beswick</t>
        </is>
      </c>
      <c r="C118" t="inlineStr">
        <is>
          <t>High Peak Cycles RT</t>
        </is>
      </c>
      <c r="D118" t="inlineStr">
        <is>
          <t>82</t>
        </is>
      </c>
      <c r="E118" s="2">
        <f>HYPERLINK("https://www.britishcycling.org.uk/points?person_id=64391&amp;year=2024&amp;type=national&amp;d=6","Results")</f>
        <v/>
      </c>
    </row>
    <row r="119">
      <c r="A119" t="inlineStr">
        <is>
          <t>118</t>
        </is>
      </c>
      <c r="B119" t="inlineStr">
        <is>
          <t>Daniel David</t>
        </is>
      </c>
      <c r="C119" t="inlineStr">
        <is>
          <t>Ziggurat Racing</t>
        </is>
      </c>
      <c r="D119" t="inlineStr">
        <is>
          <t>82</t>
        </is>
      </c>
      <c r="E119" s="2">
        <f>HYPERLINK("https://www.britishcycling.org.uk/points?person_id=515076&amp;year=2024&amp;type=national&amp;d=6","Results")</f>
        <v/>
      </c>
    </row>
    <row r="120">
      <c r="A120" t="inlineStr">
        <is>
          <t>119</t>
        </is>
      </c>
      <c r="B120" t="inlineStr">
        <is>
          <t>Dean Jones</t>
        </is>
      </c>
      <c r="C120" t="inlineStr">
        <is>
          <t>Gannet CC</t>
        </is>
      </c>
      <c r="D120" t="inlineStr">
        <is>
          <t>81</t>
        </is>
      </c>
      <c r="E120" s="2">
        <f>HYPERLINK("https://www.britishcycling.org.uk/points?person_id=556950&amp;year=2024&amp;type=national&amp;d=6","Results")</f>
        <v/>
      </c>
    </row>
    <row r="121">
      <c r="A121" t="inlineStr">
        <is>
          <t>120</t>
        </is>
      </c>
      <c r="B121" t="inlineStr">
        <is>
          <t>Charles Fletcher</t>
        </is>
      </c>
      <c r="C121" t="inlineStr"/>
      <c r="D121" t="inlineStr">
        <is>
          <t>80</t>
        </is>
      </c>
      <c r="E121" s="2">
        <f>HYPERLINK("https://www.britishcycling.org.uk/points?person_id=10608&amp;year=2024&amp;type=national&amp;d=6","Results")</f>
        <v/>
      </c>
    </row>
    <row r="122">
      <c r="A122" t="inlineStr">
        <is>
          <t>121</t>
        </is>
      </c>
      <c r="B122" t="inlineStr">
        <is>
          <t>Glen Hale</t>
        </is>
      </c>
      <c r="C122" t="inlineStr">
        <is>
          <t>Trek Sheffield Fox Valley</t>
        </is>
      </c>
      <c r="D122" t="inlineStr">
        <is>
          <t>80</t>
        </is>
      </c>
      <c r="E122" s="2">
        <f>HYPERLINK("https://www.britishcycling.org.uk/points?person_id=359476&amp;year=2024&amp;type=national&amp;d=6","Results")</f>
        <v/>
      </c>
    </row>
    <row r="123">
      <c r="A123" t="inlineStr">
        <is>
          <t>122</t>
        </is>
      </c>
      <c r="B123" t="inlineStr">
        <is>
          <t>Bilal Hardaker</t>
        </is>
      </c>
      <c r="C123" t="inlineStr">
        <is>
          <t>Inspire Racing Adaston Scape</t>
        </is>
      </c>
      <c r="D123" t="inlineStr">
        <is>
          <t>79</t>
        </is>
      </c>
      <c r="E123" s="2">
        <f>HYPERLINK("https://www.britishcycling.org.uk/points?person_id=585532&amp;year=2024&amp;type=national&amp;d=6","Results")</f>
        <v/>
      </c>
    </row>
    <row r="124">
      <c r="A124" t="inlineStr">
        <is>
          <t>123</t>
        </is>
      </c>
      <c r="B124" t="inlineStr">
        <is>
          <t>Anthony Neave</t>
        </is>
      </c>
      <c r="C124" t="inlineStr">
        <is>
          <t>Stourbridge CC</t>
        </is>
      </c>
      <c r="D124" t="inlineStr">
        <is>
          <t>79</t>
        </is>
      </c>
      <c r="E124" s="2">
        <f>HYPERLINK("https://www.britishcycling.org.uk/points?person_id=101457&amp;year=2024&amp;type=national&amp;d=6","Results")</f>
        <v/>
      </c>
    </row>
    <row r="125">
      <c r="A125" t="inlineStr">
        <is>
          <t>124</t>
        </is>
      </c>
      <c r="B125" t="inlineStr">
        <is>
          <t>Harry Rudd</t>
        </is>
      </c>
      <c r="C125" t="inlineStr">
        <is>
          <t>Walden Velo</t>
        </is>
      </c>
      <c r="D125" t="inlineStr">
        <is>
          <t>79</t>
        </is>
      </c>
      <c r="E125" s="2">
        <f>HYPERLINK("https://www.britishcycling.org.uk/points?person_id=1138326&amp;year=2024&amp;type=national&amp;d=6","Results")</f>
        <v/>
      </c>
    </row>
    <row r="126">
      <c r="A126" t="inlineStr">
        <is>
          <t>125</t>
        </is>
      </c>
      <c r="B126" t="inlineStr">
        <is>
          <t>Nathan Daverson</t>
        </is>
      </c>
      <c r="C126" t="inlineStr">
        <is>
          <t>Ystwyth Cycling Club</t>
        </is>
      </c>
      <c r="D126" t="inlineStr">
        <is>
          <t>78</t>
        </is>
      </c>
      <c r="E126" s="2">
        <f>HYPERLINK("https://www.britishcycling.org.uk/points?person_id=794591&amp;year=2024&amp;type=national&amp;d=6","Results")</f>
        <v/>
      </c>
    </row>
    <row r="127">
      <c r="A127" t="inlineStr">
        <is>
          <t>126</t>
        </is>
      </c>
      <c r="B127" t="inlineStr">
        <is>
          <t>Henry Weaver</t>
        </is>
      </c>
      <c r="C127" t="inlineStr">
        <is>
          <t>Southborough &amp; District Whls</t>
        </is>
      </c>
      <c r="D127" t="inlineStr">
        <is>
          <t>77</t>
        </is>
      </c>
      <c r="E127" s="2">
        <f>HYPERLINK("https://www.britishcycling.org.uk/points?person_id=1003674&amp;year=2024&amp;type=national&amp;d=6","Results")</f>
        <v/>
      </c>
    </row>
    <row r="128">
      <c r="A128" t="inlineStr">
        <is>
          <t>127</t>
        </is>
      </c>
      <c r="B128" t="inlineStr">
        <is>
          <t>Louis Evans</t>
        </is>
      </c>
      <c r="C128" t="inlineStr"/>
      <c r="D128" t="inlineStr">
        <is>
          <t>76</t>
        </is>
      </c>
      <c r="E128" s="2">
        <f>HYPERLINK("https://www.britishcycling.org.uk/points?person_id=376315&amp;year=2024&amp;type=national&amp;d=6","Results")</f>
        <v/>
      </c>
    </row>
    <row r="129">
      <c r="A129" t="inlineStr">
        <is>
          <t>128</t>
        </is>
      </c>
      <c r="B129" t="inlineStr">
        <is>
          <t>Noah Inman</t>
        </is>
      </c>
      <c r="C129" t="inlineStr">
        <is>
          <t>Ashfield RC</t>
        </is>
      </c>
      <c r="D129" t="inlineStr">
        <is>
          <t>76</t>
        </is>
      </c>
      <c r="E129" s="2">
        <f>HYPERLINK("https://www.britishcycling.org.uk/points?person_id=454908&amp;year=2024&amp;type=national&amp;d=6","Results")</f>
        <v/>
      </c>
    </row>
    <row r="130">
      <c r="A130" t="inlineStr">
        <is>
          <t>129</t>
        </is>
      </c>
      <c r="B130" t="inlineStr">
        <is>
          <t>Charlie Riccard</t>
        </is>
      </c>
      <c r="C130" t="inlineStr">
        <is>
          <t>WestSide Coaching, 73 Degrees</t>
        </is>
      </c>
      <c r="D130" t="inlineStr">
        <is>
          <t>76</t>
        </is>
      </c>
      <c r="E130" s="2">
        <f>HYPERLINK("https://www.britishcycling.org.uk/points?person_id=267461&amp;year=2024&amp;type=national&amp;d=6","Results")</f>
        <v/>
      </c>
    </row>
    <row r="131">
      <c r="A131" t="inlineStr">
        <is>
          <t>130</t>
        </is>
      </c>
      <c r="B131" t="inlineStr">
        <is>
          <t>Jack Bacon</t>
        </is>
      </c>
      <c r="C131" t="inlineStr">
        <is>
          <t>Aylsham Road Club</t>
        </is>
      </c>
      <c r="D131" t="inlineStr">
        <is>
          <t>75</t>
        </is>
      </c>
      <c r="E131" s="2">
        <f>HYPERLINK("https://www.britishcycling.org.uk/points?person_id=545943&amp;year=2024&amp;type=national&amp;d=6","Results")</f>
        <v/>
      </c>
    </row>
    <row r="132">
      <c r="A132" t="inlineStr">
        <is>
          <t>131</t>
        </is>
      </c>
      <c r="B132" t="inlineStr">
        <is>
          <t>Dale Lee</t>
        </is>
      </c>
      <c r="C132" t="inlineStr">
        <is>
          <t>Kendal Cycle Club</t>
        </is>
      </c>
      <c r="D132" t="inlineStr">
        <is>
          <t>75</t>
        </is>
      </c>
      <c r="E132" s="2">
        <f>HYPERLINK("https://www.britishcycling.org.uk/points?person_id=271077&amp;year=2024&amp;type=national&amp;d=6","Results")</f>
        <v/>
      </c>
    </row>
    <row r="133">
      <c r="A133" t="inlineStr">
        <is>
          <t>132</t>
        </is>
      </c>
      <c r="B133" t="inlineStr">
        <is>
          <t>Sam Daniels</t>
        </is>
      </c>
      <c r="C133" t="inlineStr">
        <is>
          <t>UEA Cycling Club</t>
        </is>
      </c>
      <c r="D133" t="inlineStr">
        <is>
          <t>74</t>
        </is>
      </c>
      <c r="E133" s="2">
        <f>HYPERLINK("https://www.britishcycling.org.uk/points?person_id=297300&amp;year=2024&amp;type=national&amp;d=6","Results")</f>
        <v/>
      </c>
    </row>
    <row r="134">
      <c r="A134" t="inlineStr">
        <is>
          <t>133</t>
        </is>
      </c>
      <c r="B134" t="inlineStr">
        <is>
          <t>Charlie McFadzean</t>
        </is>
      </c>
      <c r="C134" t="inlineStr">
        <is>
          <t>Friction Racing</t>
        </is>
      </c>
      <c r="D134" t="inlineStr">
        <is>
          <t>74</t>
        </is>
      </c>
      <c r="E134" s="2">
        <f>HYPERLINK("https://www.britishcycling.org.uk/points?person_id=221662&amp;year=2024&amp;type=national&amp;d=6","Results")</f>
        <v/>
      </c>
    </row>
    <row r="135">
      <c r="A135" t="inlineStr">
        <is>
          <t>134</t>
        </is>
      </c>
      <c r="B135" t="inlineStr">
        <is>
          <t>James Somerfield</t>
        </is>
      </c>
      <c r="C135" t="inlineStr">
        <is>
          <t>TRASH MILE</t>
        </is>
      </c>
      <c r="D135" t="inlineStr">
        <is>
          <t>74</t>
        </is>
      </c>
      <c r="E135" s="2">
        <f>HYPERLINK("https://www.britishcycling.org.uk/points?person_id=652222&amp;year=2024&amp;type=national&amp;d=6","Results")</f>
        <v/>
      </c>
    </row>
    <row r="136">
      <c r="A136" t="inlineStr">
        <is>
          <t>135</t>
        </is>
      </c>
      <c r="B136" t="inlineStr">
        <is>
          <t>Tom Stead</t>
        </is>
      </c>
      <c r="C136" t="inlineStr">
        <is>
          <t>HUUB WattShop</t>
        </is>
      </c>
      <c r="D136" t="inlineStr">
        <is>
          <t>74</t>
        </is>
      </c>
      <c r="E136" s="2">
        <f>HYPERLINK("https://www.britishcycling.org.uk/points?person_id=177621&amp;year=2024&amp;type=national&amp;d=6","Results")</f>
        <v/>
      </c>
    </row>
    <row r="137">
      <c r="A137" t="inlineStr">
        <is>
          <t>136</t>
        </is>
      </c>
      <c r="B137" t="inlineStr">
        <is>
          <t>Sam Sayers</t>
        </is>
      </c>
      <c r="C137" t="inlineStr"/>
      <c r="D137" t="inlineStr">
        <is>
          <t>73</t>
        </is>
      </c>
      <c r="E137" s="2">
        <f>HYPERLINK("https://www.britishcycling.org.uk/points?person_id=33153&amp;year=2024&amp;type=national&amp;d=6","Results")</f>
        <v/>
      </c>
    </row>
    <row r="138">
      <c r="A138" t="inlineStr">
        <is>
          <t>137</t>
        </is>
      </c>
      <c r="B138" t="inlineStr">
        <is>
          <t>Jack Lucas</t>
        </is>
      </c>
      <c r="C138" t="inlineStr">
        <is>
          <t>Shibden-A.Fawcett RT</t>
        </is>
      </c>
      <c r="D138" t="inlineStr">
        <is>
          <t>72</t>
        </is>
      </c>
      <c r="E138" s="2">
        <f>HYPERLINK("https://www.britishcycling.org.uk/points?person_id=448993&amp;year=2024&amp;type=national&amp;d=6","Results")</f>
        <v/>
      </c>
    </row>
    <row r="139">
      <c r="A139" t="inlineStr">
        <is>
          <t>138</t>
        </is>
      </c>
      <c r="B139" t="inlineStr">
        <is>
          <t>Ben Ramsden</t>
        </is>
      </c>
      <c r="C139" t="inlineStr">
        <is>
          <t>Shibden Cycling Club</t>
        </is>
      </c>
      <c r="D139" t="inlineStr">
        <is>
          <t>72</t>
        </is>
      </c>
      <c r="E139" s="2">
        <f>HYPERLINK("https://www.britishcycling.org.uk/points?person_id=298270&amp;year=2024&amp;type=national&amp;d=6","Results")</f>
        <v/>
      </c>
    </row>
    <row r="140">
      <c r="A140" t="inlineStr">
        <is>
          <t>139</t>
        </is>
      </c>
      <c r="B140" t="inlineStr">
        <is>
          <t>Lewis Ridley</t>
        </is>
      </c>
      <c r="C140" t="inlineStr">
        <is>
          <t>Clifton CC</t>
        </is>
      </c>
      <c r="D140" t="inlineStr">
        <is>
          <t>72</t>
        </is>
      </c>
      <c r="E140" s="2">
        <f>HYPERLINK("https://www.britishcycling.org.uk/points?person_id=517125&amp;year=2024&amp;type=national&amp;d=6","Results")</f>
        <v/>
      </c>
    </row>
    <row r="141">
      <c r="A141" t="inlineStr">
        <is>
          <t>140</t>
        </is>
      </c>
      <c r="B141" t="inlineStr">
        <is>
          <t>Anthony Hackett</t>
        </is>
      </c>
      <c r="C141" t="inlineStr">
        <is>
          <t>Banjo Cycles/Raceware</t>
        </is>
      </c>
      <c r="D141" t="inlineStr">
        <is>
          <t>71</t>
        </is>
      </c>
      <c r="E141" s="2">
        <f>HYPERLINK("https://www.britishcycling.org.uk/points?person_id=296393&amp;year=2024&amp;type=national&amp;d=6","Results")</f>
        <v/>
      </c>
    </row>
    <row r="142">
      <c r="A142" t="inlineStr">
        <is>
          <t>141</t>
        </is>
      </c>
      <c r="B142" t="inlineStr">
        <is>
          <t>Thomas Hocking</t>
        </is>
      </c>
      <c r="C142" t="inlineStr">
        <is>
          <t>Mud Dock Racing</t>
        </is>
      </c>
      <c r="D142" t="inlineStr">
        <is>
          <t>71</t>
        </is>
      </c>
      <c r="E142" s="2">
        <f>HYPERLINK("https://www.britishcycling.org.uk/points?person_id=1042161&amp;year=2024&amp;type=national&amp;d=6","Results")</f>
        <v/>
      </c>
    </row>
    <row r="143">
      <c r="A143" t="inlineStr">
        <is>
          <t>142</t>
        </is>
      </c>
      <c r="B143" t="inlineStr">
        <is>
          <t>Aaron King</t>
        </is>
      </c>
      <c r="C143" t="inlineStr">
        <is>
          <t>Wheelbase CabTech Castelli</t>
        </is>
      </c>
      <c r="D143" t="inlineStr">
        <is>
          <t>71</t>
        </is>
      </c>
      <c r="E143" s="2">
        <f>HYPERLINK("https://www.britishcycling.org.uk/points?person_id=249108&amp;year=2024&amp;type=national&amp;d=6","Results")</f>
        <v/>
      </c>
    </row>
    <row r="144">
      <c r="A144" t="inlineStr">
        <is>
          <t>143</t>
        </is>
      </c>
      <c r="B144" t="inlineStr">
        <is>
          <t>Kai Buckley</t>
        </is>
      </c>
      <c r="C144" t="inlineStr">
        <is>
          <t>Beeston Cycling Club</t>
        </is>
      </c>
      <c r="D144" t="inlineStr">
        <is>
          <t>70</t>
        </is>
      </c>
      <c r="E144" s="2">
        <f>HYPERLINK("https://www.britishcycling.org.uk/points?person_id=527317&amp;year=2024&amp;type=national&amp;d=6","Results")</f>
        <v/>
      </c>
    </row>
    <row r="145">
      <c r="A145" t="inlineStr">
        <is>
          <t>144</t>
        </is>
      </c>
      <c r="B145" t="inlineStr">
        <is>
          <t>Joe Holt</t>
        </is>
      </c>
      <c r="C145" t="inlineStr">
        <is>
          <t>TEKKERZ CC</t>
        </is>
      </c>
      <c r="D145" t="inlineStr">
        <is>
          <t>70</t>
        </is>
      </c>
      <c r="E145" s="2">
        <f>HYPERLINK("https://www.britishcycling.org.uk/points?person_id=171&amp;year=2024&amp;type=national&amp;d=6","Results")</f>
        <v/>
      </c>
    </row>
    <row r="146">
      <c r="A146" t="inlineStr">
        <is>
          <t>145</t>
        </is>
      </c>
      <c r="B146" t="inlineStr">
        <is>
          <t>Henry Hunter</t>
        </is>
      </c>
      <c r="C146" t="inlineStr">
        <is>
          <t>Kendal Cycle Club</t>
        </is>
      </c>
      <c r="D146" t="inlineStr">
        <is>
          <t>70</t>
        </is>
      </c>
      <c r="E146" s="2">
        <f>HYPERLINK("https://www.britishcycling.org.uk/points?person_id=1043454&amp;year=2024&amp;type=national&amp;d=6","Results")</f>
        <v/>
      </c>
    </row>
    <row r="147">
      <c r="A147" t="inlineStr">
        <is>
          <t>146</t>
        </is>
      </c>
      <c r="B147" t="inlineStr">
        <is>
          <t>Adam Potter</t>
        </is>
      </c>
      <c r="C147" t="inlineStr"/>
      <c r="D147" t="inlineStr">
        <is>
          <t>70</t>
        </is>
      </c>
      <c r="E147" s="2">
        <f>HYPERLINK("https://www.britishcycling.org.uk/points?person_id=206546&amp;year=2024&amp;type=national&amp;d=6","Results")</f>
        <v/>
      </c>
    </row>
    <row r="148">
      <c r="A148" t="inlineStr">
        <is>
          <t>147</t>
        </is>
      </c>
      <c r="B148" t="inlineStr">
        <is>
          <t>Richard McDonald</t>
        </is>
      </c>
      <c r="C148" t="inlineStr">
        <is>
          <t>Vanelli-Project Go</t>
        </is>
      </c>
      <c r="D148" t="inlineStr">
        <is>
          <t>68</t>
        </is>
      </c>
      <c r="E148" s="2">
        <f>HYPERLINK("https://www.britishcycling.org.uk/points?person_id=76589&amp;year=2024&amp;type=national&amp;d=6","Results")</f>
        <v/>
      </c>
    </row>
    <row r="149">
      <c r="A149" t="inlineStr">
        <is>
          <t>148</t>
        </is>
      </c>
      <c r="B149" t="inlineStr">
        <is>
          <t>Thomas Eke</t>
        </is>
      </c>
      <c r="C149" t="inlineStr">
        <is>
          <t>Ziggurat Racing</t>
        </is>
      </c>
      <c r="D149" t="inlineStr">
        <is>
          <t>67</t>
        </is>
      </c>
      <c r="E149" s="2">
        <f>HYPERLINK("https://www.britishcycling.org.uk/points?person_id=440234&amp;year=2024&amp;type=national&amp;d=6","Results")</f>
        <v/>
      </c>
    </row>
    <row r="150">
      <c r="A150" t="inlineStr">
        <is>
          <t>149</t>
        </is>
      </c>
      <c r="B150" t="inlineStr">
        <is>
          <t>Milo McIntosh</t>
        </is>
      </c>
      <c r="C150" t="inlineStr">
        <is>
          <t>The Cycling Academy</t>
        </is>
      </c>
      <c r="D150" t="inlineStr">
        <is>
          <t>66</t>
        </is>
      </c>
      <c r="E150" s="2">
        <f>HYPERLINK("https://www.britishcycling.org.uk/points?person_id=1008140&amp;year=2024&amp;type=national&amp;d=6","Results")</f>
        <v/>
      </c>
    </row>
    <row r="151">
      <c r="A151" t="inlineStr">
        <is>
          <t>150</t>
        </is>
      </c>
      <c r="B151" t="inlineStr">
        <is>
          <t>Tristan Kelsall-Spurr</t>
        </is>
      </c>
      <c r="C151" t="inlineStr">
        <is>
          <t>Exeter Wheelers</t>
        </is>
      </c>
      <c r="D151" t="inlineStr">
        <is>
          <t>64</t>
        </is>
      </c>
      <c r="E151" s="2">
        <f>HYPERLINK("https://www.britishcycling.org.uk/points?person_id=1137780&amp;year=2024&amp;type=national&amp;d=6","Results")</f>
        <v/>
      </c>
    </row>
    <row r="152">
      <c r="A152" t="inlineStr">
        <is>
          <t>151</t>
        </is>
      </c>
      <c r="B152" t="inlineStr">
        <is>
          <t>Owen Lawson</t>
        </is>
      </c>
      <c r="C152" t="inlineStr">
        <is>
          <t>Exeter Wheelers</t>
        </is>
      </c>
      <c r="D152" t="inlineStr">
        <is>
          <t>64</t>
        </is>
      </c>
      <c r="E152" s="2">
        <f>HYPERLINK("https://www.britishcycling.org.uk/points?person_id=1134547&amp;year=2024&amp;type=national&amp;d=6","Results")</f>
        <v/>
      </c>
    </row>
    <row r="153">
      <c r="A153" t="inlineStr">
        <is>
          <t>152</t>
        </is>
      </c>
      <c r="B153" t="inlineStr">
        <is>
          <t>James Wright</t>
        </is>
      </c>
      <c r="C153" t="inlineStr">
        <is>
          <t>Newhall.cc</t>
        </is>
      </c>
      <c r="D153" t="inlineStr">
        <is>
          <t>64</t>
        </is>
      </c>
      <c r="E153" s="2">
        <f>HYPERLINK("https://www.britishcycling.org.uk/points?person_id=178193&amp;year=2024&amp;type=national&amp;d=6","Results")</f>
        <v/>
      </c>
    </row>
    <row r="154">
      <c r="A154" t="inlineStr">
        <is>
          <t>153</t>
        </is>
      </c>
      <c r="B154" t="inlineStr">
        <is>
          <t>Nick Morris</t>
        </is>
      </c>
      <c r="C154" t="inlineStr">
        <is>
          <t>Clee Cycles</t>
        </is>
      </c>
      <c r="D154" t="inlineStr">
        <is>
          <t>63</t>
        </is>
      </c>
      <c r="E154" s="2">
        <f>HYPERLINK("https://www.britishcycling.org.uk/points?person_id=201614&amp;year=2024&amp;type=national&amp;d=6","Results")</f>
        <v/>
      </c>
    </row>
    <row r="155">
      <c r="A155" t="inlineStr">
        <is>
          <t>154</t>
        </is>
      </c>
      <c r="B155" t="inlineStr">
        <is>
          <t>John Rogers</t>
        </is>
      </c>
      <c r="C155" t="inlineStr">
        <is>
          <t>Southborough &amp; District Whls</t>
        </is>
      </c>
      <c r="D155" t="inlineStr">
        <is>
          <t>63</t>
        </is>
      </c>
      <c r="E155" s="2">
        <f>HYPERLINK("https://www.britishcycling.org.uk/points?person_id=1080908&amp;year=2024&amp;type=national&amp;d=6","Results")</f>
        <v/>
      </c>
    </row>
    <row r="156">
      <c r="A156" t="inlineStr">
        <is>
          <t>155</t>
        </is>
      </c>
      <c r="B156" t="inlineStr">
        <is>
          <t>Jake Sargent</t>
        </is>
      </c>
      <c r="C156" t="inlineStr">
        <is>
          <t>Team Bottrill</t>
        </is>
      </c>
      <c r="D156" t="inlineStr">
        <is>
          <t>62</t>
        </is>
      </c>
      <c r="E156" s="2">
        <f>HYPERLINK("https://www.britishcycling.org.uk/points?person_id=762747&amp;year=2024&amp;type=national&amp;d=6","Results")</f>
        <v/>
      </c>
    </row>
    <row r="157">
      <c r="A157" t="inlineStr">
        <is>
          <t>156</t>
        </is>
      </c>
      <c r="B157" t="inlineStr">
        <is>
          <t>Jack Wilson</t>
        </is>
      </c>
      <c r="C157" t="inlineStr">
        <is>
          <t>Louth Cycle Centre RT</t>
        </is>
      </c>
      <c r="D157" t="inlineStr">
        <is>
          <t>62</t>
        </is>
      </c>
      <c r="E157" s="2">
        <f>HYPERLINK("https://www.britishcycling.org.uk/points?person_id=255959&amp;year=2024&amp;type=national&amp;d=6","Results")</f>
        <v/>
      </c>
    </row>
    <row r="158">
      <c r="A158" t="inlineStr">
        <is>
          <t>157</t>
        </is>
      </c>
      <c r="B158" t="inlineStr">
        <is>
          <t>Jonah Beadle</t>
        </is>
      </c>
      <c r="C158" t="inlineStr"/>
      <c r="D158" t="inlineStr">
        <is>
          <t>61</t>
        </is>
      </c>
      <c r="E158" s="2">
        <f>HYPERLINK("https://www.britishcycling.org.uk/points?person_id=1030812&amp;year=2024&amp;type=national&amp;d=6","Results")</f>
        <v/>
      </c>
    </row>
    <row r="159">
      <c r="A159" t="inlineStr">
        <is>
          <t>158</t>
        </is>
      </c>
      <c r="B159" t="inlineStr">
        <is>
          <t>Jack Beveridge</t>
        </is>
      </c>
      <c r="C159" t="inlineStr">
        <is>
          <t>Reflex Nopinz</t>
        </is>
      </c>
      <c r="D159" t="inlineStr">
        <is>
          <t>61</t>
        </is>
      </c>
      <c r="E159" s="2">
        <f>HYPERLINK("https://www.britishcycling.org.uk/points?person_id=269894&amp;year=2024&amp;type=national&amp;d=6","Results")</f>
        <v/>
      </c>
    </row>
    <row r="160">
      <c r="A160" t="inlineStr">
        <is>
          <t>159</t>
        </is>
      </c>
      <c r="B160" t="inlineStr">
        <is>
          <t>Seb Herrod</t>
        </is>
      </c>
      <c r="C160" t="inlineStr">
        <is>
          <t>ROTOR Race Team</t>
        </is>
      </c>
      <c r="D160" t="inlineStr">
        <is>
          <t>60</t>
        </is>
      </c>
      <c r="E160" s="2">
        <f>HYPERLINK("https://www.britishcycling.org.uk/points?person_id=189592&amp;year=2024&amp;type=national&amp;d=6","Results")</f>
        <v/>
      </c>
    </row>
    <row r="161">
      <c r="A161" t="inlineStr">
        <is>
          <t>160</t>
        </is>
      </c>
      <c r="B161" t="inlineStr">
        <is>
          <t>Luke Mahoney</t>
        </is>
      </c>
      <c r="C161" t="inlineStr">
        <is>
          <t>North Devon Velo</t>
        </is>
      </c>
      <c r="D161" t="inlineStr">
        <is>
          <t>60</t>
        </is>
      </c>
      <c r="E161" s="2">
        <f>HYPERLINK("https://www.britishcycling.org.uk/points?person_id=621530&amp;year=2024&amp;type=national&amp;d=6","Results")</f>
        <v/>
      </c>
    </row>
    <row r="162">
      <c r="A162" t="inlineStr">
        <is>
          <t>161</t>
        </is>
      </c>
      <c r="B162" t="inlineStr">
        <is>
          <t>Thomas Timberlake</t>
        </is>
      </c>
      <c r="C162" t="inlineStr">
        <is>
          <t>Dyson Cycles</t>
        </is>
      </c>
      <c r="D162" t="inlineStr">
        <is>
          <t>59</t>
        </is>
      </c>
      <c r="E162" s="2">
        <f>HYPERLINK("https://www.britishcycling.org.uk/points?person_id=175030&amp;year=2024&amp;type=national&amp;d=6","Results")</f>
        <v/>
      </c>
    </row>
    <row r="163">
      <c r="A163" t="inlineStr">
        <is>
          <t>162</t>
        </is>
      </c>
      <c r="B163" t="inlineStr">
        <is>
          <t>John White</t>
        </is>
      </c>
      <c r="C163" t="inlineStr">
        <is>
          <t>North Cheshire Clarion</t>
        </is>
      </c>
      <c r="D163" t="inlineStr">
        <is>
          <t>59</t>
        </is>
      </c>
      <c r="E163" s="2">
        <f>HYPERLINK("https://www.britishcycling.org.uk/points?person_id=195431&amp;year=2024&amp;type=national&amp;d=6","Results")</f>
        <v/>
      </c>
    </row>
    <row r="164">
      <c r="A164" t="inlineStr">
        <is>
          <t>163</t>
        </is>
      </c>
      <c r="B164" t="inlineStr">
        <is>
          <t>William Gell</t>
        </is>
      </c>
      <c r="C164" t="inlineStr"/>
      <c r="D164" t="inlineStr">
        <is>
          <t>58</t>
        </is>
      </c>
      <c r="E164" s="2">
        <f>HYPERLINK("https://www.britishcycling.org.uk/points?person_id=649361&amp;year=2024&amp;type=national&amp;d=6","Results")</f>
        <v/>
      </c>
    </row>
    <row r="165">
      <c r="A165" t="inlineStr">
        <is>
          <t>164</t>
        </is>
      </c>
      <c r="B165" t="inlineStr">
        <is>
          <t>Rob Walker</t>
        </is>
      </c>
      <c r="C165" t="inlineStr">
        <is>
          <t>WardPerformanceUK.com</t>
        </is>
      </c>
      <c r="D165" t="inlineStr">
        <is>
          <t>58</t>
        </is>
      </c>
      <c r="E165" s="2">
        <f>HYPERLINK("https://www.britishcycling.org.uk/points?person_id=424130&amp;year=2024&amp;type=national&amp;d=6","Results")</f>
        <v/>
      </c>
    </row>
    <row r="166">
      <c r="A166" t="inlineStr">
        <is>
          <t>165</t>
        </is>
      </c>
      <c r="B166" t="inlineStr">
        <is>
          <t>Edward Armstrong</t>
        </is>
      </c>
      <c r="C166" t="inlineStr">
        <is>
          <t>Southfork Racing.co.uk</t>
        </is>
      </c>
      <c r="D166" t="inlineStr">
        <is>
          <t>57</t>
        </is>
      </c>
      <c r="E166" s="2">
        <f>HYPERLINK("https://www.britishcycling.org.uk/points?person_id=252866&amp;year=2024&amp;type=national&amp;d=6","Results")</f>
        <v/>
      </c>
    </row>
    <row r="167">
      <c r="A167" t="inlineStr">
        <is>
          <t>166</t>
        </is>
      </c>
      <c r="B167" t="inlineStr">
        <is>
          <t>Jack Jee</t>
        </is>
      </c>
      <c r="C167" t="inlineStr">
        <is>
          <t>Primera-TeamJobs</t>
        </is>
      </c>
      <c r="D167" t="inlineStr">
        <is>
          <t>57</t>
        </is>
      </c>
      <c r="E167" s="2">
        <f>HYPERLINK("https://www.britishcycling.org.uk/points?person_id=620774&amp;year=2024&amp;type=national&amp;d=6","Results")</f>
        <v/>
      </c>
    </row>
    <row r="168">
      <c r="A168" t="inlineStr">
        <is>
          <t>167</t>
        </is>
      </c>
      <c r="B168" t="inlineStr">
        <is>
          <t>Joe Watkins-Wilson</t>
        </is>
      </c>
      <c r="C168" t="inlineStr">
        <is>
          <t>Zappi Junior Race Team</t>
        </is>
      </c>
      <c r="D168" t="inlineStr">
        <is>
          <t>57</t>
        </is>
      </c>
      <c r="E168" s="2">
        <f>HYPERLINK("https://www.britishcycling.org.uk/points?person_id=550008&amp;year=2024&amp;type=national&amp;d=6","Results")</f>
        <v/>
      </c>
    </row>
    <row r="169">
      <c r="A169" t="inlineStr">
        <is>
          <t>168</t>
        </is>
      </c>
      <c r="B169" t="inlineStr">
        <is>
          <t>Christopher Hilbert</t>
        </is>
      </c>
      <c r="C169" t="inlineStr">
        <is>
          <t>Sherwood Pines Cycles Forme</t>
        </is>
      </c>
      <c r="D169" t="inlineStr">
        <is>
          <t>56</t>
        </is>
      </c>
      <c r="E169" s="2">
        <f>HYPERLINK("https://www.britishcycling.org.uk/points?person_id=198100&amp;year=2024&amp;type=national&amp;d=6","Results")</f>
        <v/>
      </c>
    </row>
    <row r="170">
      <c r="A170" t="inlineStr">
        <is>
          <t>169</t>
        </is>
      </c>
      <c r="B170" t="inlineStr">
        <is>
          <t>Sam Spinks</t>
        </is>
      </c>
      <c r="C170" t="inlineStr">
        <is>
          <t>Ziggurat Racing</t>
        </is>
      </c>
      <c r="D170" t="inlineStr">
        <is>
          <t>56</t>
        </is>
      </c>
      <c r="E170" s="2">
        <f>HYPERLINK("https://www.britishcycling.org.uk/points?person_id=839064&amp;year=2024&amp;type=national&amp;d=6","Results")</f>
        <v/>
      </c>
    </row>
    <row r="171">
      <c r="A171" t="inlineStr">
        <is>
          <t>170</t>
        </is>
      </c>
      <c r="B171" t="inlineStr">
        <is>
          <t>Jared Linden</t>
        </is>
      </c>
      <c r="C171" t="inlineStr"/>
      <c r="D171" t="inlineStr">
        <is>
          <t>55</t>
        </is>
      </c>
      <c r="E171" s="2">
        <f>HYPERLINK("https://www.britishcycling.org.uk/points?person_id=188827&amp;year=2024&amp;type=national&amp;d=6","Results")</f>
        <v/>
      </c>
    </row>
    <row r="172">
      <c r="A172" t="inlineStr">
        <is>
          <t>171</t>
        </is>
      </c>
      <c r="B172" t="inlineStr">
        <is>
          <t>Andrew Friend</t>
        </is>
      </c>
      <c r="C172" t="inlineStr">
        <is>
          <t>Nova Race Team</t>
        </is>
      </c>
      <c r="D172" t="inlineStr">
        <is>
          <t>54</t>
        </is>
      </c>
      <c r="E172" s="2">
        <f>HYPERLINK("https://www.britishcycling.org.uk/points?person_id=1043205&amp;year=2024&amp;type=national&amp;d=6","Results")</f>
        <v/>
      </c>
    </row>
    <row r="173">
      <c r="A173" t="inlineStr">
        <is>
          <t>172</t>
        </is>
      </c>
      <c r="B173" t="inlineStr">
        <is>
          <t>Ashley Pay</t>
        </is>
      </c>
      <c r="C173" t="inlineStr">
        <is>
          <t>Plymouth Corinthian CC</t>
        </is>
      </c>
      <c r="D173" t="inlineStr">
        <is>
          <t>53</t>
        </is>
      </c>
      <c r="E173" s="2">
        <f>HYPERLINK("https://www.britishcycling.org.uk/points?person_id=289142&amp;year=2024&amp;type=national&amp;d=6","Results")</f>
        <v/>
      </c>
    </row>
    <row r="174">
      <c r="A174" t="inlineStr">
        <is>
          <t>173</t>
        </is>
      </c>
      <c r="B174" t="inlineStr">
        <is>
          <t>Edward Morgan</t>
        </is>
      </c>
      <c r="C174" t="inlineStr">
        <is>
          <t>Spectra Racing p/b DAS</t>
        </is>
      </c>
      <c r="D174" t="inlineStr">
        <is>
          <t>52</t>
        </is>
      </c>
      <c r="E174" s="2">
        <f>HYPERLINK("https://www.britishcycling.org.uk/points?person_id=506609&amp;year=2024&amp;type=national&amp;d=6","Results")</f>
        <v/>
      </c>
    </row>
    <row r="175">
      <c r="A175" t="inlineStr">
        <is>
          <t>174</t>
        </is>
      </c>
      <c r="B175" t="inlineStr">
        <is>
          <t>Adam Wells</t>
        </is>
      </c>
      <c r="C175" t="inlineStr">
        <is>
          <t>Rockingham Forest Whls</t>
        </is>
      </c>
      <c r="D175" t="inlineStr">
        <is>
          <t>52</t>
        </is>
      </c>
      <c r="E175" s="2">
        <f>HYPERLINK("https://www.britishcycling.org.uk/points?person_id=945482&amp;year=2024&amp;type=national&amp;d=6","Results")</f>
        <v/>
      </c>
    </row>
    <row r="176">
      <c r="A176" t="inlineStr">
        <is>
          <t>175</t>
        </is>
      </c>
      <c r="B176" t="inlineStr">
        <is>
          <t>Richard Ashley Jennings</t>
        </is>
      </c>
      <c r="C176" t="inlineStr">
        <is>
          <t>Army Cycling Union</t>
        </is>
      </c>
      <c r="D176" t="inlineStr">
        <is>
          <t>51</t>
        </is>
      </c>
      <c r="E176" s="2">
        <f>HYPERLINK("https://www.britishcycling.org.uk/points?person_id=465048&amp;year=2024&amp;type=national&amp;d=6","Results")</f>
        <v/>
      </c>
    </row>
    <row r="177">
      <c r="A177" t="inlineStr">
        <is>
          <t>176</t>
        </is>
      </c>
      <c r="B177" t="inlineStr">
        <is>
          <t>Richard Eakins</t>
        </is>
      </c>
      <c r="C177" t="inlineStr">
        <is>
          <t>EDCO Wheels RT</t>
        </is>
      </c>
      <c r="D177" t="inlineStr">
        <is>
          <t>50</t>
        </is>
      </c>
      <c r="E177" s="2">
        <f>HYPERLINK("https://www.britishcycling.org.uk/points?person_id=252787&amp;year=2024&amp;type=national&amp;d=6","Results")</f>
        <v/>
      </c>
    </row>
    <row r="178">
      <c r="A178" t="inlineStr">
        <is>
          <t>177</t>
        </is>
      </c>
      <c r="B178" t="inlineStr">
        <is>
          <t>Stephen Lee</t>
        </is>
      </c>
      <c r="C178" t="inlineStr">
        <is>
          <t>Derwentside CC</t>
        </is>
      </c>
      <c r="D178" t="inlineStr">
        <is>
          <t>50</t>
        </is>
      </c>
      <c r="E178" s="2">
        <f>HYPERLINK("https://www.britishcycling.org.uk/points?person_id=54560&amp;year=2024&amp;type=national&amp;d=6","Results")</f>
        <v/>
      </c>
    </row>
    <row r="179">
      <c r="A179" t="inlineStr">
        <is>
          <t>178</t>
        </is>
      </c>
      <c r="B179" t="inlineStr">
        <is>
          <t>Craig Owen</t>
        </is>
      </c>
      <c r="C179" t="inlineStr">
        <is>
          <t>Lettuce Club</t>
        </is>
      </c>
      <c r="D179" t="inlineStr">
        <is>
          <t>50</t>
        </is>
      </c>
      <c r="E179" s="2">
        <f>HYPERLINK("https://www.britishcycling.org.uk/points?person_id=55720&amp;year=2024&amp;type=national&amp;d=6","Results")</f>
        <v/>
      </c>
    </row>
    <row r="180">
      <c r="A180" t="inlineStr">
        <is>
          <t>179</t>
        </is>
      </c>
      <c r="B180" t="inlineStr">
        <is>
          <t>Skip Snelson</t>
        </is>
      </c>
      <c r="C180" t="inlineStr">
        <is>
          <t>Team Milton Keynes</t>
        </is>
      </c>
      <c r="D180" t="inlineStr">
        <is>
          <t>50</t>
        </is>
      </c>
      <c r="E180" s="2">
        <f>HYPERLINK("https://www.britishcycling.org.uk/points?person_id=178124&amp;year=2024&amp;type=national&amp;d=6","Results")</f>
        <v/>
      </c>
    </row>
    <row r="181">
      <c r="A181" t="inlineStr">
        <is>
          <t>180</t>
        </is>
      </c>
      <c r="B181" t="inlineStr">
        <is>
          <t>Wilfred Sinclair</t>
        </is>
      </c>
      <c r="C181" t="inlineStr">
        <is>
          <t>Velo 1860</t>
        </is>
      </c>
      <c r="D181" t="inlineStr">
        <is>
          <t>49</t>
        </is>
      </c>
      <c r="E181" s="2">
        <f>HYPERLINK("https://www.britishcycling.org.uk/points?person_id=1550&amp;year=2024&amp;type=national&amp;d=6","Results")</f>
        <v/>
      </c>
    </row>
    <row r="182">
      <c r="A182" t="inlineStr">
        <is>
          <t>181</t>
        </is>
      </c>
      <c r="B182" t="inlineStr">
        <is>
          <t>Oliver Dawson</t>
        </is>
      </c>
      <c r="C182" t="inlineStr">
        <is>
          <t>Wolf Cycles</t>
        </is>
      </c>
      <c r="D182" t="inlineStr">
        <is>
          <t>48</t>
        </is>
      </c>
      <c r="E182" s="2">
        <f>HYPERLINK("https://www.britishcycling.org.uk/points?person_id=184797&amp;year=2024&amp;type=national&amp;d=6","Results")</f>
        <v/>
      </c>
    </row>
    <row r="183">
      <c r="A183" t="inlineStr">
        <is>
          <t>182</t>
        </is>
      </c>
      <c r="B183" t="inlineStr">
        <is>
          <t>James Grogan</t>
        </is>
      </c>
      <c r="C183" t="inlineStr">
        <is>
          <t>http:www.giant-helston.co.uk</t>
        </is>
      </c>
      <c r="D183" t="inlineStr">
        <is>
          <t>48</t>
        </is>
      </c>
      <c r="E183" s="2">
        <f>HYPERLINK("https://www.britishcycling.org.uk/points?person_id=452886&amp;year=2024&amp;type=national&amp;d=6","Results")</f>
        <v/>
      </c>
    </row>
    <row r="184">
      <c r="A184" t="inlineStr">
        <is>
          <t>183</t>
        </is>
      </c>
      <c r="B184" t="inlineStr">
        <is>
          <t>Daniel Moore</t>
        </is>
      </c>
      <c r="C184" t="inlineStr">
        <is>
          <t>Muckle Cycle Club</t>
        </is>
      </c>
      <c r="D184" t="inlineStr">
        <is>
          <t>48</t>
        </is>
      </c>
      <c r="E184" s="2">
        <f>HYPERLINK("https://www.britishcycling.org.uk/points?person_id=15203&amp;year=2024&amp;type=national&amp;d=6","Results")</f>
        <v/>
      </c>
    </row>
    <row r="185">
      <c r="A185" t="inlineStr">
        <is>
          <t>184</t>
        </is>
      </c>
      <c r="B185" t="inlineStr">
        <is>
          <t>Euan Scott</t>
        </is>
      </c>
      <c r="C185" t="inlineStr"/>
      <c r="D185" t="inlineStr">
        <is>
          <t>48</t>
        </is>
      </c>
      <c r="E185" s="2">
        <f>HYPERLINK("https://www.britishcycling.org.uk/points?person_id=1133429&amp;year=2024&amp;type=national&amp;d=6","Results")</f>
        <v/>
      </c>
    </row>
    <row r="186">
      <c r="A186" t="inlineStr">
        <is>
          <t>185</t>
        </is>
      </c>
      <c r="B186" t="inlineStr">
        <is>
          <t>Adam Caton</t>
        </is>
      </c>
      <c r="C186" t="inlineStr">
        <is>
          <t>Ziggurat Racing</t>
        </is>
      </c>
      <c r="D186" t="inlineStr">
        <is>
          <t>47</t>
        </is>
      </c>
      <c r="E186" s="2">
        <f>HYPERLINK("https://www.britishcycling.org.uk/points?person_id=876318&amp;year=2024&amp;type=national&amp;d=6","Results")</f>
        <v/>
      </c>
    </row>
    <row r="187">
      <c r="A187" t="inlineStr">
        <is>
          <t>186</t>
        </is>
      </c>
      <c r="B187" t="inlineStr">
        <is>
          <t>Patrick McDowell</t>
        </is>
      </c>
      <c r="C187" t="inlineStr">
        <is>
          <t>Cardiff Ajax CC</t>
        </is>
      </c>
      <c r="D187" t="inlineStr">
        <is>
          <t>47</t>
        </is>
      </c>
      <c r="E187" s="2">
        <f>HYPERLINK("https://www.britishcycling.org.uk/points?person_id=1015988&amp;year=2024&amp;type=national&amp;d=6","Results")</f>
        <v/>
      </c>
    </row>
    <row r="188">
      <c r="A188" t="inlineStr">
        <is>
          <t>187</t>
        </is>
      </c>
      <c r="B188" t="inlineStr">
        <is>
          <t>Liam Newton</t>
        </is>
      </c>
      <c r="C188" t="inlineStr">
        <is>
          <t>Braishfield CC</t>
        </is>
      </c>
      <c r="D188" t="inlineStr">
        <is>
          <t>47</t>
        </is>
      </c>
      <c r="E188" s="2">
        <f>HYPERLINK("https://www.britishcycling.org.uk/points?person_id=583258&amp;year=2024&amp;type=national&amp;d=6","Results")</f>
        <v/>
      </c>
    </row>
    <row r="189">
      <c r="A189" t="inlineStr">
        <is>
          <t>188</t>
        </is>
      </c>
      <c r="B189" t="inlineStr">
        <is>
          <t>Alexander Robinson</t>
        </is>
      </c>
      <c r="C189" t="inlineStr">
        <is>
          <t>Clifton CC</t>
        </is>
      </c>
      <c r="D189" t="inlineStr">
        <is>
          <t>47</t>
        </is>
      </c>
      <c r="E189" s="2">
        <f>HYPERLINK("https://www.britishcycling.org.uk/points?person_id=554229&amp;year=2024&amp;type=national&amp;d=6","Results")</f>
        <v/>
      </c>
    </row>
    <row r="190">
      <c r="A190" t="inlineStr">
        <is>
          <t>189</t>
        </is>
      </c>
      <c r="B190" t="inlineStr">
        <is>
          <t>Isaac Barton</t>
        </is>
      </c>
      <c r="C190" t="inlineStr">
        <is>
          <t>Ely &amp; District CC</t>
        </is>
      </c>
      <c r="D190" t="inlineStr">
        <is>
          <t>46</t>
        </is>
      </c>
      <c r="E190" s="2">
        <f>HYPERLINK("https://www.britishcycling.org.uk/points?person_id=538172&amp;year=2024&amp;type=national&amp;d=6","Results")</f>
        <v/>
      </c>
    </row>
    <row r="191">
      <c r="A191" t="inlineStr">
        <is>
          <t>190</t>
        </is>
      </c>
      <c r="B191" t="inlineStr">
        <is>
          <t>Jamie Bryant</t>
        </is>
      </c>
      <c r="C191" t="inlineStr">
        <is>
          <t>Southborough &amp; District Whls</t>
        </is>
      </c>
      <c r="D191" t="inlineStr">
        <is>
          <t>46</t>
        </is>
      </c>
      <c r="E191" s="2">
        <f>HYPERLINK("https://www.britishcycling.org.uk/points?person_id=1111963&amp;year=2024&amp;type=national&amp;d=6","Results")</f>
        <v/>
      </c>
    </row>
    <row r="192">
      <c r="A192" t="inlineStr">
        <is>
          <t>191</t>
        </is>
      </c>
      <c r="B192" t="inlineStr">
        <is>
          <t>Tom Knight</t>
        </is>
      </c>
      <c r="C192" t="inlineStr">
        <is>
          <t>Dynamic Rides CC</t>
        </is>
      </c>
      <c r="D192" t="inlineStr">
        <is>
          <t>46</t>
        </is>
      </c>
      <c r="E192" s="2">
        <f>HYPERLINK("https://www.britishcycling.org.uk/points?person_id=60909&amp;year=2024&amp;type=national&amp;d=6","Results")</f>
        <v/>
      </c>
    </row>
    <row r="193">
      <c r="A193" t="inlineStr">
        <is>
          <t>192</t>
        </is>
      </c>
      <c r="B193" t="inlineStr">
        <is>
          <t>Nicholas Lodge</t>
        </is>
      </c>
      <c r="C193" t="inlineStr"/>
      <c r="D193" t="inlineStr">
        <is>
          <t>46</t>
        </is>
      </c>
      <c r="E193" s="2">
        <f>HYPERLINK("https://www.britishcycling.org.uk/points?person_id=1089342&amp;year=2024&amp;type=national&amp;d=6","Results")</f>
        <v/>
      </c>
    </row>
    <row r="194">
      <c r="A194" t="inlineStr">
        <is>
          <t>193</t>
        </is>
      </c>
      <c r="B194" t="inlineStr">
        <is>
          <t>Joshua Meyland</t>
        </is>
      </c>
      <c r="C194" t="inlineStr"/>
      <c r="D194" t="inlineStr">
        <is>
          <t>46</t>
        </is>
      </c>
      <c r="E194" s="2">
        <f>HYPERLINK("https://www.britishcycling.org.uk/points?person_id=863940&amp;year=2024&amp;type=national&amp;d=6","Results")</f>
        <v/>
      </c>
    </row>
    <row r="195">
      <c r="A195" t="inlineStr">
        <is>
          <t>194</t>
        </is>
      </c>
      <c r="B195" t="inlineStr">
        <is>
          <t>Oliver Morgan</t>
        </is>
      </c>
      <c r="C195" t="inlineStr">
        <is>
          <t>IGNITE Race Team</t>
        </is>
      </c>
      <c r="D195" t="inlineStr">
        <is>
          <t>46</t>
        </is>
      </c>
      <c r="E195" s="2">
        <f>HYPERLINK("https://www.britishcycling.org.uk/points?person_id=454208&amp;year=2024&amp;type=national&amp;d=6","Results")</f>
        <v/>
      </c>
    </row>
    <row r="196">
      <c r="A196" t="inlineStr">
        <is>
          <t>195</t>
        </is>
      </c>
      <c r="B196" t="inlineStr">
        <is>
          <t>Jordan Bailey</t>
        </is>
      </c>
      <c r="C196" t="inlineStr"/>
      <c r="D196" t="inlineStr">
        <is>
          <t>45</t>
        </is>
      </c>
      <c r="E196" s="2">
        <f>HYPERLINK("https://www.britishcycling.org.uk/points?person_id=567230&amp;year=2024&amp;type=national&amp;d=6","Results")</f>
        <v/>
      </c>
    </row>
    <row r="197">
      <c r="A197" t="inlineStr">
        <is>
          <t>196</t>
        </is>
      </c>
      <c r="B197" t="inlineStr">
        <is>
          <t>Ollie Daw</t>
        </is>
      </c>
      <c r="C197" t="inlineStr">
        <is>
          <t>Hub Vélo</t>
        </is>
      </c>
      <c r="D197" t="inlineStr">
        <is>
          <t>45</t>
        </is>
      </c>
      <c r="E197" s="2">
        <f>HYPERLINK("https://www.britishcycling.org.uk/points?person_id=842425&amp;year=2024&amp;type=national&amp;d=6","Results")</f>
        <v/>
      </c>
    </row>
    <row r="198">
      <c r="A198" t="inlineStr">
        <is>
          <t>197</t>
        </is>
      </c>
      <c r="B198" t="inlineStr">
        <is>
          <t>Timothy Sellar</t>
        </is>
      </c>
      <c r="C198" t="inlineStr">
        <is>
          <t>Liss Cycling Club</t>
        </is>
      </c>
      <c r="D198" t="inlineStr">
        <is>
          <t>45</t>
        </is>
      </c>
      <c r="E198" s="2">
        <f>HYPERLINK("https://www.britishcycling.org.uk/points?person_id=1126115&amp;year=2024&amp;type=national&amp;d=6","Results")</f>
        <v/>
      </c>
    </row>
    <row r="199">
      <c r="A199" t="inlineStr">
        <is>
          <t>198</t>
        </is>
      </c>
      <c r="B199" t="inlineStr">
        <is>
          <t>Gino Casale</t>
        </is>
      </c>
      <c r="C199" t="inlineStr"/>
      <c r="D199" t="inlineStr">
        <is>
          <t>44</t>
        </is>
      </c>
      <c r="E199" s="2">
        <f>HYPERLINK("https://www.britishcycling.org.uk/points?person_id=1091512&amp;year=2024&amp;type=national&amp;d=6","Results")</f>
        <v/>
      </c>
    </row>
    <row r="200">
      <c r="A200" t="inlineStr">
        <is>
          <t>199</t>
        </is>
      </c>
      <c r="B200" t="inlineStr">
        <is>
          <t>Felix Earth</t>
        </is>
      </c>
      <c r="C200" t="inlineStr">
        <is>
          <t>Clancy Briggs Cycling Academy</t>
        </is>
      </c>
      <c r="D200" t="inlineStr">
        <is>
          <t>44</t>
        </is>
      </c>
      <c r="E200" s="2">
        <f>HYPERLINK("https://www.britishcycling.org.uk/points?person_id=706564&amp;year=2024&amp;type=national&amp;d=6","Results")</f>
        <v/>
      </c>
    </row>
    <row r="201">
      <c r="A201" t="inlineStr">
        <is>
          <t>200</t>
        </is>
      </c>
      <c r="B201" t="inlineStr">
        <is>
          <t>David Mirfield</t>
        </is>
      </c>
      <c r="C201" t="inlineStr">
        <is>
          <t>Hope Tech Factory Racing</t>
        </is>
      </c>
      <c r="D201" t="inlineStr">
        <is>
          <t>44</t>
        </is>
      </c>
      <c r="E201" s="2">
        <f>HYPERLINK("https://www.britishcycling.org.uk/points?person_id=17081&amp;year=2024&amp;type=national&amp;d=6","Results")</f>
        <v/>
      </c>
    </row>
    <row r="202">
      <c r="A202" t="inlineStr">
        <is>
          <t>201</t>
        </is>
      </c>
      <c r="B202" t="inlineStr">
        <is>
          <t>Daniel Ingham</t>
        </is>
      </c>
      <c r="C202" t="inlineStr">
        <is>
          <t>VC VELDRIJDEN</t>
        </is>
      </c>
      <c r="D202" t="inlineStr">
        <is>
          <t>43</t>
        </is>
      </c>
      <c r="E202" s="2">
        <f>HYPERLINK("https://www.britishcycling.org.uk/points?person_id=736433&amp;year=2024&amp;type=national&amp;d=6","Results")</f>
        <v/>
      </c>
    </row>
    <row r="203">
      <c r="A203" t="inlineStr">
        <is>
          <t>202</t>
        </is>
      </c>
      <c r="B203" t="inlineStr">
        <is>
          <t>James Newland</t>
        </is>
      </c>
      <c r="C203" t="inlineStr">
        <is>
          <t>Horsham Cycling</t>
        </is>
      </c>
      <c r="D203" t="inlineStr">
        <is>
          <t>43</t>
        </is>
      </c>
      <c r="E203" s="2">
        <f>HYPERLINK("https://www.britishcycling.org.uk/points?person_id=1080965&amp;year=2024&amp;type=national&amp;d=6","Results")</f>
        <v/>
      </c>
    </row>
    <row r="204">
      <c r="A204" t="inlineStr">
        <is>
          <t>203</t>
        </is>
      </c>
      <c r="B204" t="inlineStr">
        <is>
          <t>Josh Wakeling</t>
        </is>
      </c>
      <c r="C204" t="inlineStr">
        <is>
          <t>CX Cartel</t>
        </is>
      </c>
      <c r="D204" t="inlineStr">
        <is>
          <t>43</t>
        </is>
      </c>
      <c r="E204" s="2">
        <f>HYPERLINK("https://www.britishcycling.org.uk/points?person_id=314152&amp;year=2024&amp;type=national&amp;d=6","Results")</f>
        <v/>
      </c>
    </row>
    <row r="205">
      <c r="A205" t="inlineStr">
        <is>
          <t>204</t>
        </is>
      </c>
      <c r="B205" t="inlineStr">
        <is>
          <t>Nathaniel Henderson</t>
        </is>
      </c>
      <c r="C205" t="inlineStr">
        <is>
          <t>Hetton Hawks Cycling Club</t>
        </is>
      </c>
      <c r="D205" t="inlineStr">
        <is>
          <t>42</t>
        </is>
      </c>
      <c r="E205" s="2">
        <f>HYPERLINK("https://www.britishcycling.org.uk/points?person_id=241825&amp;year=2024&amp;type=national&amp;d=6","Results")</f>
        <v/>
      </c>
    </row>
    <row r="206">
      <c r="A206" t="inlineStr">
        <is>
          <t>205</t>
        </is>
      </c>
      <c r="B206" t="inlineStr">
        <is>
          <t>Callum Laborde</t>
        </is>
      </c>
      <c r="C206" t="inlineStr">
        <is>
          <t>Wheelbase CabTech Castelli</t>
        </is>
      </c>
      <c r="D206" t="inlineStr">
        <is>
          <t>42</t>
        </is>
      </c>
      <c r="E206" s="2">
        <f>HYPERLINK("https://www.britishcycling.org.uk/points?person_id=278810&amp;year=2024&amp;type=national&amp;d=6","Results")</f>
        <v/>
      </c>
    </row>
    <row r="207">
      <c r="A207" t="inlineStr">
        <is>
          <t>206</t>
        </is>
      </c>
      <c r="B207" t="inlineStr">
        <is>
          <t>Frederick Barlow</t>
        </is>
      </c>
      <c r="C207" t="inlineStr">
        <is>
          <t>Shaftesbury CC</t>
        </is>
      </c>
      <c r="D207" t="inlineStr">
        <is>
          <t>41</t>
        </is>
      </c>
      <c r="E207" s="2">
        <f>HYPERLINK("https://www.britishcycling.org.uk/points?person_id=616875&amp;year=2024&amp;type=national&amp;d=6","Results")</f>
        <v/>
      </c>
    </row>
    <row r="208">
      <c r="A208" t="inlineStr">
        <is>
          <t>207</t>
        </is>
      </c>
      <c r="B208" t="inlineStr">
        <is>
          <t>Nate Bomans</t>
        </is>
      </c>
      <c r="C208" t="inlineStr">
        <is>
          <t>Solihull CC</t>
        </is>
      </c>
      <c r="D208" t="inlineStr">
        <is>
          <t>41</t>
        </is>
      </c>
      <c r="E208" s="2">
        <f>HYPERLINK("https://www.britishcycling.org.uk/points?person_id=1131467&amp;year=2024&amp;type=national&amp;d=6","Results")</f>
        <v/>
      </c>
    </row>
    <row r="209">
      <c r="A209" t="inlineStr">
        <is>
          <t>208</t>
        </is>
      </c>
      <c r="B209" t="inlineStr">
        <is>
          <t>Ben Chilton</t>
        </is>
      </c>
      <c r="C209" t="inlineStr">
        <is>
          <t>Apogé Charente-Maritime</t>
        </is>
      </c>
      <c r="D209" t="inlineStr">
        <is>
          <t>40</t>
        </is>
      </c>
      <c r="E209" s="2">
        <f>HYPERLINK("https://www.britishcycling.org.uk/points?person_id=194739&amp;year=2024&amp;type=national&amp;d=6","Results")</f>
        <v/>
      </c>
    </row>
    <row r="210">
      <c r="A210" t="inlineStr">
        <is>
          <t>209</t>
        </is>
      </c>
      <c r="B210" t="inlineStr">
        <is>
          <t>Robert Jebb</t>
        </is>
      </c>
      <c r="C210" t="inlineStr">
        <is>
          <t>Hope Tech Factory Racing</t>
        </is>
      </c>
      <c r="D210" t="inlineStr">
        <is>
          <t>40</t>
        </is>
      </c>
      <c r="E210" s="2">
        <f>HYPERLINK("https://www.britishcycling.org.uk/points?person_id=39724&amp;year=2024&amp;type=national&amp;d=6","Results")</f>
        <v/>
      </c>
    </row>
    <row r="211">
      <c r="A211" t="inlineStr">
        <is>
          <t>210</t>
        </is>
      </c>
      <c r="B211" t="inlineStr">
        <is>
          <t>David Haygarth</t>
        </is>
      </c>
      <c r="C211" t="inlineStr">
        <is>
          <t>Wheelbase CabTech Castelli</t>
        </is>
      </c>
      <c r="D211" t="inlineStr">
        <is>
          <t>39</t>
        </is>
      </c>
      <c r="E211" s="2">
        <f>HYPERLINK("https://www.britishcycling.org.uk/points?person_id=70096&amp;year=2024&amp;type=national&amp;d=6","Results")</f>
        <v/>
      </c>
    </row>
    <row r="212">
      <c r="A212" t="inlineStr">
        <is>
          <t>211</t>
        </is>
      </c>
      <c r="B212" t="inlineStr">
        <is>
          <t>Matthew Willis</t>
        </is>
      </c>
      <c r="C212" t="inlineStr">
        <is>
          <t>Cardiff JIF</t>
        </is>
      </c>
      <c r="D212" t="inlineStr">
        <is>
          <t>39</t>
        </is>
      </c>
      <c r="E212" s="2">
        <f>HYPERLINK("https://www.britishcycling.org.uk/points?person_id=702077&amp;year=2024&amp;type=national&amp;d=6","Results")</f>
        <v/>
      </c>
    </row>
    <row r="213">
      <c r="A213" t="inlineStr">
        <is>
          <t>212</t>
        </is>
      </c>
      <c r="B213" t="inlineStr">
        <is>
          <t>Tom Hill</t>
        </is>
      </c>
      <c r="C213" t="inlineStr">
        <is>
          <t>SPRNT</t>
        </is>
      </c>
      <c r="D213" t="inlineStr">
        <is>
          <t>38</t>
        </is>
      </c>
      <c r="E213" s="2">
        <f>HYPERLINK("https://www.britishcycling.org.uk/points?person_id=556702&amp;year=2024&amp;type=national&amp;d=6","Results")</f>
        <v/>
      </c>
    </row>
    <row r="214">
      <c r="A214" t="inlineStr">
        <is>
          <t>213</t>
        </is>
      </c>
      <c r="B214" t="inlineStr">
        <is>
          <t>Dan Hopes</t>
        </is>
      </c>
      <c r="C214" t="inlineStr">
        <is>
          <t>WestSide Coaching, 73 Degrees</t>
        </is>
      </c>
      <c r="D214" t="inlineStr">
        <is>
          <t>38</t>
        </is>
      </c>
      <c r="E214" s="2">
        <f>HYPERLINK("https://www.britishcycling.org.uk/points?person_id=408137&amp;year=2024&amp;type=national&amp;d=6","Results")</f>
        <v/>
      </c>
    </row>
    <row r="215">
      <c r="A215" t="inlineStr">
        <is>
          <t>214</t>
        </is>
      </c>
      <c r="B215" t="inlineStr">
        <is>
          <t>Richard Mathie</t>
        </is>
      </c>
      <c r="C215" t="inlineStr">
        <is>
          <t>Penge Cycle Club</t>
        </is>
      </c>
      <c r="D215" t="inlineStr">
        <is>
          <t>38</t>
        </is>
      </c>
      <c r="E215" s="2">
        <f>HYPERLINK("https://www.britishcycling.org.uk/points?person_id=451343&amp;year=2024&amp;type=national&amp;d=6","Results")</f>
        <v/>
      </c>
    </row>
    <row r="216">
      <c r="A216" t="inlineStr">
        <is>
          <t>215</t>
        </is>
      </c>
      <c r="B216" t="inlineStr">
        <is>
          <t>Luke Nash</t>
        </is>
      </c>
      <c r="C216" t="inlineStr"/>
      <c r="D216" t="inlineStr">
        <is>
          <t>38</t>
        </is>
      </c>
      <c r="E216" s="2">
        <f>HYPERLINK("https://www.britishcycling.org.uk/points?person_id=1133383&amp;year=2024&amp;type=national&amp;d=6","Results")</f>
        <v/>
      </c>
    </row>
    <row r="217">
      <c r="A217" t="inlineStr">
        <is>
          <t>216</t>
        </is>
      </c>
      <c r="B217" t="inlineStr">
        <is>
          <t>James Richards</t>
        </is>
      </c>
      <c r="C217" t="inlineStr">
        <is>
          <t>Velo Bavarian RT</t>
        </is>
      </c>
      <c r="D217" t="inlineStr">
        <is>
          <t>38</t>
        </is>
      </c>
      <c r="E217" s="2">
        <f>HYPERLINK("https://www.britishcycling.org.uk/points?person_id=477584&amp;year=2024&amp;type=national&amp;d=6","Results")</f>
        <v/>
      </c>
    </row>
    <row r="218">
      <c r="A218" t="inlineStr">
        <is>
          <t>217</t>
        </is>
      </c>
      <c r="B218" t="inlineStr">
        <is>
          <t>Nathan Cozens</t>
        </is>
      </c>
      <c r="C218" t="inlineStr">
        <is>
          <t>Brighton Mitre CC</t>
        </is>
      </c>
      <c r="D218" t="inlineStr">
        <is>
          <t>37</t>
        </is>
      </c>
      <c r="E218" s="2">
        <f>HYPERLINK("https://www.britishcycling.org.uk/points?person_id=987321&amp;year=2024&amp;type=national&amp;d=6","Results")</f>
        <v/>
      </c>
    </row>
    <row r="219">
      <c r="A219" t="inlineStr">
        <is>
          <t>218</t>
        </is>
      </c>
      <c r="B219" t="inlineStr">
        <is>
          <t>David Falconer</t>
        </is>
      </c>
      <c r="C219" t="inlineStr">
        <is>
          <t>Musselburgh RCC</t>
        </is>
      </c>
      <c r="D219" t="inlineStr">
        <is>
          <t>37</t>
        </is>
      </c>
      <c r="E219" s="2">
        <f>HYPERLINK("https://www.britishcycling.org.uk/points?person_id=205606&amp;year=2024&amp;type=national&amp;d=6","Results")</f>
        <v/>
      </c>
    </row>
    <row r="220">
      <c r="A220" t="inlineStr">
        <is>
          <t>219</t>
        </is>
      </c>
      <c r="B220" t="inlineStr">
        <is>
          <t>Max Holgate</t>
        </is>
      </c>
      <c r="C220" t="inlineStr">
        <is>
          <t>Loughborough Students CC</t>
        </is>
      </c>
      <c r="D220" t="inlineStr">
        <is>
          <t>37</t>
        </is>
      </c>
      <c r="E220" s="2">
        <f>HYPERLINK("https://www.britishcycling.org.uk/points?person_id=352447&amp;year=2024&amp;type=national&amp;d=6","Results")</f>
        <v/>
      </c>
    </row>
    <row r="221">
      <c r="A221" t="inlineStr">
        <is>
          <t>220</t>
        </is>
      </c>
      <c r="B221" t="inlineStr">
        <is>
          <t>Owen Lockwood</t>
        </is>
      </c>
      <c r="C221" t="inlineStr"/>
      <c r="D221" t="inlineStr">
        <is>
          <t>37</t>
        </is>
      </c>
      <c r="E221" s="2">
        <f>HYPERLINK("https://www.britishcycling.org.uk/points?person_id=367207&amp;year=2024&amp;type=national&amp;d=6","Results")</f>
        <v/>
      </c>
    </row>
    <row r="222">
      <c r="A222" t="inlineStr">
        <is>
          <t>221</t>
        </is>
      </c>
      <c r="B222" t="inlineStr">
        <is>
          <t>Jacob Murray</t>
        </is>
      </c>
      <c r="C222" t="inlineStr">
        <is>
          <t>Beeley RT</t>
        </is>
      </c>
      <c r="D222" t="inlineStr">
        <is>
          <t>37</t>
        </is>
      </c>
      <c r="E222" s="2">
        <f>HYPERLINK("https://www.britishcycling.org.uk/points?person_id=1025596&amp;year=2024&amp;type=national&amp;d=6","Results")</f>
        <v/>
      </c>
    </row>
    <row r="223">
      <c r="A223" t="inlineStr">
        <is>
          <t>222</t>
        </is>
      </c>
      <c r="B223" t="inlineStr">
        <is>
          <t>Fletcher Adams</t>
        </is>
      </c>
      <c r="C223" t="inlineStr">
        <is>
          <t>Nova Race Team</t>
        </is>
      </c>
      <c r="D223" t="inlineStr">
        <is>
          <t>36</t>
        </is>
      </c>
      <c r="E223" s="2">
        <f>HYPERLINK("https://www.britishcycling.org.uk/points?person_id=174810&amp;year=2024&amp;type=national&amp;d=6","Results")</f>
        <v/>
      </c>
    </row>
    <row r="224">
      <c r="A224" t="inlineStr">
        <is>
          <t>223</t>
        </is>
      </c>
      <c r="B224" t="inlineStr">
        <is>
          <t>Murray Gray</t>
        </is>
      </c>
      <c r="C224" t="inlineStr">
        <is>
          <t>ROTOR Race Team</t>
        </is>
      </c>
      <c r="D224" t="inlineStr">
        <is>
          <t>36</t>
        </is>
      </c>
      <c r="E224" s="2">
        <f>HYPERLINK("https://www.britishcycling.org.uk/points?person_id=651336&amp;year=2024&amp;type=national&amp;d=6","Results")</f>
        <v/>
      </c>
    </row>
    <row r="225">
      <c r="A225" t="inlineStr">
        <is>
          <t>224</t>
        </is>
      </c>
      <c r="B225" t="inlineStr">
        <is>
          <t>Max Greensill</t>
        </is>
      </c>
      <c r="C225" t="inlineStr">
        <is>
          <t>Hope Factory Racing</t>
        </is>
      </c>
      <c r="D225" t="inlineStr">
        <is>
          <t>36</t>
        </is>
      </c>
      <c r="E225" s="2">
        <f>HYPERLINK("https://www.britishcycling.org.uk/points?person_id=468266&amp;year=2024&amp;type=national&amp;d=6","Results")</f>
        <v/>
      </c>
    </row>
    <row r="226">
      <c r="A226" t="inlineStr">
        <is>
          <t>225</t>
        </is>
      </c>
      <c r="B226" t="inlineStr">
        <is>
          <t>George Harvey</t>
        </is>
      </c>
      <c r="C226" t="inlineStr">
        <is>
          <t>University of Bath Cycling Club</t>
        </is>
      </c>
      <c r="D226" t="inlineStr">
        <is>
          <t>36</t>
        </is>
      </c>
      <c r="E226" s="2">
        <f>HYPERLINK("https://www.britishcycling.org.uk/points?person_id=253080&amp;year=2024&amp;type=national&amp;d=6","Results")</f>
        <v/>
      </c>
    </row>
    <row r="227">
      <c r="A227" t="inlineStr">
        <is>
          <t>226</t>
        </is>
      </c>
      <c r="B227" t="inlineStr">
        <is>
          <t>James Maddison</t>
        </is>
      </c>
      <c r="C227" t="inlineStr">
        <is>
          <t>Exeter Wheelers</t>
        </is>
      </c>
      <c r="D227" t="inlineStr">
        <is>
          <t>36</t>
        </is>
      </c>
      <c r="E227" s="2">
        <f>HYPERLINK("https://www.britishcycling.org.uk/points?person_id=426063&amp;year=2024&amp;type=national&amp;d=6","Results")</f>
        <v/>
      </c>
    </row>
    <row r="228">
      <c r="A228" t="inlineStr">
        <is>
          <t>227</t>
        </is>
      </c>
      <c r="B228" t="inlineStr">
        <is>
          <t>Finn Mason</t>
        </is>
      </c>
      <c r="C228" t="inlineStr">
        <is>
          <t>Saint Piran</t>
        </is>
      </c>
      <c r="D228" t="inlineStr">
        <is>
          <t>36</t>
        </is>
      </c>
      <c r="E228" s="2">
        <f>HYPERLINK("https://www.britishcycling.org.uk/points?person_id=177268&amp;year=2024&amp;type=national&amp;d=6","Results")</f>
        <v/>
      </c>
    </row>
    <row r="229">
      <c r="A229" t="inlineStr">
        <is>
          <t>228</t>
        </is>
      </c>
      <c r="B229" t="inlineStr">
        <is>
          <t>Iain Murray</t>
        </is>
      </c>
      <c r="C229" t="inlineStr">
        <is>
          <t>Lancaster CC</t>
        </is>
      </c>
      <c r="D229" t="inlineStr">
        <is>
          <t>36</t>
        </is>
      </c>
      <c r="E229" s="2">
        <f>HYPERLINK("https://www.britishcycling.org.uk/points?person_id=754589&amp;year=2024&amp;type=national&amp;d=6","Results")</f>
        <v/>
      </c>
    </row>
    <row r="230">
      <c r="A230" t="inlineStr">
        <is>
          <t>229</t>
        </is>
      </c>
      <c r="B230" t="inlineStr">
        <is>
          <t>Thomas Clarke</t>
        </is>
      </c>
      <c r="C230" t="inlineStr">
        <is>
          <t>Pedalon.co.uk</t>
        </is>
      </c>
      <c r="D230" t="inlineStr">
        <is>
          <t>35</t>
        </is>
      </c>
      <c r="E230" s="2">
        <f>HYPERLINK("https://www.britishcycling.org.uk/points?person_id=217414&amp;year=2024&amp;type=national&amp;d=6","Results")</f>
        <v/>
      </c>
    </row>
    <row r="231">
      <c r="A231" t="inlineStr">
        <is>
          <t>230</t>
        </is>
      </c>
      <c r="B231" t="inlineStr">
        <is>
          <t>Adam Morris</t>
        </is>
      </c>
      <c r="C231" t="inlineStr">
        <is>
          <t>Fibrax Fenwick's Wrexham C C</t>
        </is>
      </c>
      <c r="D231" t="inlineStr">
        <is>
          <t>35</t>
        </is>
      </c>
      <c r="E231" s="2">
        <f>HYPERLINK("https://www.britishcycling.org.uk/points?person_id=384145&amp;year=2024&amp;type=national&amp;d=6","Results")</f>
        <v/>
      </c>
    </row>
    <row r="232">
      <c r="A232" t="inlineStr">
        <is>
          <t>231</t>
        </is>
      </c>
      <c r="B232" t="inlineStr">
        <is>
          <t>Michael Newton</t>
        </is>
      </c>
      <c r="C232" t="inlineStr">
        <is>
          <t>Barnsley Road Club</t>
        </is>
      </c>
      <c r="D232" t="inlineStr">
        <is>
          <t>35</t>
        </is>
      </c>
      <c r="E232" s="2">
        <f>HYPERLINK("https://www.britishcycling.org.uk/points?person_id=21369&amp;year=2024&amp;type=national&amp;d=6","Results")</f>
        <v/>
      </c>
    </row>
    <row r="233">
      <c r="A233" t="inlineStr">
        <is>
          <t>232</t>
        </is>
      </c>
      <c r="B233" t="inlineStr">
        <is>
          <t>Louis Hagan</t>
        </is>
      </c>
      <c r="C233" t="inlineStr">
        <is>
          <t>South Shields Velo Cycling Club</t>
        </is>
      </c>
      <c r="D233" t="inlineStr">
        <is>
          <t>34</t>
        </is>
      </c>
      <c r="E233" s="2">
        <f>HYPERLINK("https://www.britishcycling.org.uk/points?person_id=996099&amp;year=2024&amp;type=national&amp;d=6","Results")</f>
        <v/>
      </c>
    </row>
    <row r="234">
      <c r="A234" t="inlineStr">
        <is>
          <t>233</t>
        </is>
      </c>
      <c r="B234" t="inlineStr">
        <is>
          <t>Jamie Madden</t>
        </is>
      </c>
      <c r="C234" t="inlineStr"/>
      <c r="D234" t="inlineStr">
        <is>
          <t>34</t>
        </is>
      </c>
      <c r="E234" s="2">
        <f>HYPERLINK("https://www.britishcycling.org.uk/points?person_id=1030664&amp;year=2024&amp;type=national&amp;d=6","Results")</f>
        <v/>
      </c>
    </row>
    <row r="235">
      <c r="A235" t="inlineStr">
        <is>
          <t>234</t>
        </is>
      </c>
      <c r="B235" t="inlineStr">
        <is>
          <t>Thomas Medley</t>
        </is>
      </c>
      <c r="C235" t="inlineStr">
        <is>
          <t>Welland Valley CC</t>
        </is>
      </c>
      <c r="D235" t="inlineStr">
        <is>
          <t>34</t>
        </is>
      </c>
      <c r="E235" s="2">
        <f>HYPERLINK("https://www.britishcycling.org.uk/points?person_id=250660&amp;year=2024&amp;type=national&amp;d=6","Results")</f>
        <v/>
      </c>
    </row>
    <row r="236">
      <c r="A236" t="inlineStr">
        <is>
          <t>235</t>
        </is>
      </c>
      <c r="B236" t="inlineStr">
        <is>
          <t>Ruairi Revell</t>
        </is>
      </c>
      <c r="C236" t="inlineStr"/>
      <c r="D236" t="inlineStr">
        <is>
          <t>34</t>
        </is>
      </c>
      <c r="E236" s="2">
        <f>HYPERLINK("https://www.britishcycling.org.uk/points?person_id=104616&amp;year=2024&amp;type=national&amp;d=6","Results")</f>
        <v/>
      </c>
    </row>
    <row r="237">
      <c r="A237" t="inlineStr">
        <is>
          <t>236</t>
        </is>
      </c>
      <c r="B237" t="inlineStr">
        <is>
          <t>Chris Stray</t>
        </is>
      </c>
      <c r="C237" t="inlineStr"/>
      <c r="D237" t="inlineStr">
        <is>
          <t>34</t>
        </is>
      </c>
      <c r="E237" s="2">
        <f>HYPERLINK("https://www.britishcycling.org.uk/points?person_id=1042848&amp;year=2024&amp;type=national&amp;d=6","Results")</f>
        <v/>
      </c>
    </row>
    <row r="238">
      <c r="A238" t="inlineStr">
        <is>
          <t>237</t>
        </is>
      </c>
      <c r="B238" t="inlineStr">
        <is>
          <t>Martin Woffindin</t>
        </is>
      </c>
      <c r="C238" t="inlineStr">
        <is>
          <t>Secret-Training.cc</t>
        </is>
      </c>
      <c r="D238" t="inlineStr">
        <is>
          <t>34</t>
        </is>
      </c>
      <c r="E238" s="2">
        <f>HYPERLINK("https://www.britishcycling.org.uk/points?person_id=51499&amp;year=2024&amp;type=national&amp;d=6","Results")</f>
        <v/>
      </c>
    </row>
    <row r="239">
      <c r="A239" t="inlineStr">
        <is>
          <t>238</t>
        </is>
      </c>
      <c r="B239" t="inlineStr">
        <is>
          <t>Dominic Munson</t>
        </is>
      </c>
      <c r="C239" t="inlineStr">
        <is>
          <t>Bristol South CC</t>
        </is>
      </c>
      <c r="D239" t="inlineStr">
        <is>
          <t>33</t>
        </is>
      </c>
      <c r="E239" s="2">
        <f>HYPERLINK("https://www.britishcycling.org.uk/points?person_id=324699&amp;year=2024&amp;type=national&amp;d=6","Results")</f>
        <v/>
      </c>
    </row>
    <row r="240">
      <c r="A240" t="inlineStr">
        <is>
          <t>239</t>
        </is>
      </c>
      <c r="B240" t="inlineStr">
        <is>
          <t>Owen Thompson</t>
        </is>
      </c>
      <c r="C240" t="inlineStr">
        <is>
          <t>Paul Milnes - Bradford Olympic RC</t>
        </is>
      </c>
      <c r="D240" t="inlineStr">
        <is>
          <t>33</t>
        </is>
      </c>
      <c r="E240" s="2">
        <f>HYPERLINK("https://www.britishcycling.org.uk/points?person_id=379108&amp;year=2024&amp;type=national&amp;d=6","Results")</f>
        <v/>
      </c>
    </row>
    <row r="241">
      <c r="A241" t="inlineStr">
        <is>
          <t>240</t>
        </is>
      </c>
      <c r="B241" t="inlineStr">
        <is>
          <t>Sebastian Bacon</t>
        </is>
      </c>
      <c r="C241" t="inlineStr">
        <is>
          <t>Wolverhampton Wheelers</t>
        </is>
      </c>
      <c r="D241" t="inlineStr">
        <is>
          <t>32</t>
        </is>
      </c>
      <c r="E241" s="2">
        <f>HYPERLINK("https://www.britishcycling.org.uk/points?person_id=77668&amp;year=2024&amp;type=national&amp;d=6","Results")</f>
        <v/>
      </c>
    </row>
    <row r="242">
      <c r="A242" t="inlineStr">
        <is>
          <t>241</t>
        </is>
      </c>
      <c r="B242" t="inlineStr">
        <is>
          <t>Noah Bleteau</t>
        </is>
      </c>
      <c r="C242" t="inlineStr">
        <is>
          <t>The Cycling Academy</t>
        </is>
      </c>
      <c r="D242" t="inlineStr">
        <is>
          <t>32</t>
        </is>
      </c>
      <c r="E242" s="2">
        <f>HYPERLINK("https://www.britishcycling.org.uk/points?person_id=668904&amp;year=2024&amp;type=national&amp;d=6","Results")</f>
        <v/>
      </c>
    </row>
    <row r="243">
      <c r="A243" t="inlineStr">
        <is>
          <t>242</t>
        </is>
      </c>
      <c r="B243" t="inlineStr">
        <is>
          <t>Ben Cooper</t>
        </is>
      </c>
      <c r="C243" t="inlineStr">
        <is>
          <t>Lancaster CC</t>
        </is>
      </c>
      <c r="D243" t="inlineStr">
        <is>
          <t>32</t>
        </is>
      </c>
      <c r="E243" s="2">
        <f>HYPERLINK("https://www.britishcycling.org.uk/points?person_id=359750&amp;year=2024&amp;type=national&amp;d=6","Results")</f>
        <v/>
      </c>
    </row>
    <row r="244">
      <c r="A244" t="inlineStr">
        <is>
          <t>243</t>
        </is>
      </c>
      <c r="B244" t="inlineStr">
        <is>
          <t>William Dykes</t>
        </is>
      </c>
      <c r="C244" t="inlineStr">
        <is>
          <t>Vanelli-Project Go</t>
        </is>
      </c>
      <c r="D244" t="inlineStr">
        <is>
          <t>32</t>
        </is>
      </c>
      <c r="E244" s="2">
        <f>HYPERLINK("https://www.britishcycling.org.uk/points?person_id=300937&amp;year=2024&amp;type=national&amp;d=6","Results")</f>
        <v/>
      </c>
    </row>
    <row r="245">
      <c r="A245" t="inlineStr">
        <is>
          <t>244</t>
        </is>
      </c>
      <c r="B245" t="inlineStr">
        <is>
          <t>Philip Large</t>
        </is>
      </c>
      <c r="C245" t="inlineStr">
        <is>
          <t>Velouse Flyers</t>
        </is>
      </c>
      <c r="D245" t="inlineStr">
        <is>
          <t>32</t>
        </is>
      </c>
      <c r="E245" s="2">
        <f>HYPERLINK("https://www.britishcycling.org.uk/points?person_id=326891&amp;year=2024&amp;type=national&amp;d=6","Results")</f>
        <v/>
      </c>
    </row>
    <row r="246">
      <c r="A246" t="inlineStr">
        <is>
          <t>245</t>
        </is>
      </c>
      <c r="B246" t="inlineStr">
        <is>
          <t>Alex Windett</t>
        </is>
      </c>
      <c r="C246" t="inlineStr">
        <is>
          <t>Dulwich Paragon CC</t>
        </is>
      </c>
      <c r="D246" t="inlineStr">
        <is>
          <t>32</t>
        </is>
      </c>
      <c r="E246" s="2">
        <f>HYPERLINK("https://www.britishcycling.org.uk/points?person_id=631828&amp;year=2024&amp;type=national&amp;d=6","Results")</f>
        <v/>
      </c>
    </row>
    <row r="247">
      <c r="A247" t="inlineStr">
        <is>
          <t>246</t>
        </is>
      </c>
      <c r="B247" t="inlineStr">
        <is>
          <t>Giorgio Coppola</t>
        </is>
      </c>
      <c r="C247" t="inlineStr">
        <is>
          <t>Razzo Racing</t>
        </is>
      </c>
      <c r="D247" t="inlineStr">
        <is>
          <t>31</t>
        </is>
      </c>
      <c r="E247" s="2">
        <f>HYPERLINK("https://www.britishcycling.org.uk/points?person_id=21107&amp;year=2024&amp;type=national&amp;d=6","Results")</f>
        <v/>
      </c>
    </row>
    <row r="248">
      <c r="A248" t="inlineStr">
        <is>
          <t>247</t>
        </is>
      </c>
      <c r="B248" t="inlineStr">
        <is>
          <t>Jacob Hardy</t>
        </is>
      </c>
      <c r="C248" t="inlineStr">
        <is>
          <t>University of Bath Cycling Club</t>
        </is>
      </c>
      <c r="D248" t="inlineStr">
        <is>
          <t>31</t>
        </is>
      </c>
      <c r="E248" s="2">
        <f>HYPERLINK("https://www.britishcycling.org.uk/points?person_id=655680&amp;year=2024&amp;type=national&amp;d=6","Results")</f>
        <v/>
      </c>
    </row>
    <row r="249">
      <c r="A249" t="inlineStr">
        <is>
          <t>248</t>
        </is>
      </c>
      <c r="B249" t="inlineStr">
        <is>
          <t>Paul Oldham</t>
        </is>
      </c>
      <c r="C249" t="inlineStr">
        <is>
          <t>Hope Tech Factory Racing</t>
        </is>
      </c>
      <c r="D249" t="inlineStr">
        <is>
          <t>31</t>
        </is>
      </c>
      <c r="E249" s="2">
        <f>HYPERLINK("https://www.britishcycling.org.uk/points?person_id=7344&amp;year=2024&amp;type=national&amp;d=6","Results")</f>
        <v/>
      </c>
    </row>
    <row r="250">
      <c r="A250" t="inlineStr">
        <is>
          <t>249</t>
        </is>
      </c>
      <c r="B250" t="inlineStr">
        <is>
          <t>Luke Eggar</t>
        </is>
      </c>
      <c r="C250" t="inlineStr">
        <is>
          <t>Mud Dock Racing</t>
        </is>
      </c>
      <c r="D250" t="inlineStr">
        <is>
          <t>30</t>
        </is>
      </c>
      <c r="E250" s="2">
        <f>HYPERLINK("https://www.britishcycling.org.uk/points?person_id=78309&amp;year=2024&amp;type=national&amp;d=6","Results")</f>
        <v/>
      </c>
    </row>
    <row r="251">
      <c r="A251" t="inlineStr">
        <is>
          <t>250</t>
        </is>
      </c>
      <c r="B251" t="inlineStr">
        <is>
          <t>Matthew Ellis</t>
        </is>
      </c>
      <c r="C251" t="inlineStr">
        <is>
          <t>MUC-OFF-SRCT-STORCK</t>
        </is>
      </c>
      <c r="D251" t="inlineStr">
        <is>
          <t>30</t>
        </is>
      </c>
      <c r="E251" s="2">
        <f>HYPERLINK("https://www.britishcycling.org.uk/points?person_id=67082&amp;year=2024&amp;type=national&amp;d=6","Results")</f>
        <v/>
      </c>
    </row>
    <row r="252">
      <c r="A252" t="inlineStr">
        <is>
          <t>251</t>
        </is>
      </c>
      <c r="B252" t="inlineStr">
        <is>
          <t>Lewys Hobbs</t>
        </is>
      </c>
      <c r="C252" t="inlineStr">
        <is>
          <t>UF Rowe &amp; King</t>
        </is>
      </c>
      <c r="D252" t="inlineStr">
        <is>
          <t>30</t>
        </is>
      </c>
      <c r="E252" s="2">
        <f>HYPERLINK("https://www.britishcycling.org.uk/points?person_id=17464&amp;year=2024&amp;type=national&amp;d=6","Results")</f>
        <v/>
      </c>
    </row>
    <row r="253">
      <c r="A253" t="inlineStr">
        <is>
          <t>252</t>
        </is>
      </c>
      <c r="B253" t="inlineStr">
        <is>
          <t>Cameron Orr</t>
        </is>
      </c>
      <c r="C253" t="inlineStr">
        <is>
          <t>Wilier Triestina - Vittoria Factory Team</t>
        </is>
      </c>
      <c r="D253" t="inlineStr">
        <is>
          <t>30</t>
        </is>
      </c>
      <c r="E253" s="2">
        <f>HYPERLINK("https://www.britishcycling.org.uk/points?person_id=133818&amp;year=2024&amp;type=national&amp;d=6","Results")</f>
        <v/>
      </c>
    </row>
    <row r="254">
      <c r="A254" t="inlineStr">
        <is>
          <t>253</t>
        </is>
      </c>
      <c r="B254" t="inlineStr">
        <is>
          <t>Ben Southgate</t>
        </is>
      </c>
      <c r="C254" t="inlineStr">
        <is>
          <t>Wrekinsport CC</t>
        </is>
      </c>
      <c r="D254" t="inlineStr">
        <is>
          <t>30</t>
        </is>
      </c>
      <c r="E254" s="2">
        <f>HYPERLINK("https://www.britishcycling.org.uk/points?person_id=1091149&amp;year=2024&amp;type=national&amp;d=6","Results")</f>
        <v/>
      </c>
    </row>
    <row r="255">
      <c r="A255" t="inlineStr">
        <is>
          <t>254</t>
        </is>
      </c>
      <c r="B255" t="inlineStr">
        <is>
          <t>Harry Sowden</t>
        </is>
      </c>
      <c r="C255" t="inlineStr"/>
      <c r="D255" t="inlineStr">
        <is>
          <t>30</t>
        </is>
      </c>
      <c r="E255" s="2">
        <f>HYPERLINK("https://www.britishcycling.org.uk/points?person_id=1029385&amp;year=2024&amp;type=national&amp;d=6","Results")</f>
        <v/>
      </c>
    </row>
    <row r="256">
      <c r="A256" t="inlineStr">
        <is>
          <t>255</t>
        </is>
      </c>
      <c r="B256" t="inlineStr">
        <is>
          <t>William Truelove</t>
        </is>
      </c>
      <c r="C256" t="inlineStr">
        <is>
          <t>MUC-OFF-SRCT-STORCK</t>
        </is>
      </c>
      <c r="D256" t="inlineStr">
        <is>
          <t>30</t>
        </is>
      </c>
      <c r="E256" s="2">
        <f>HYPERLINK("https://www.britishcycling.org.uk/points?person_id=498460&amp;year=2024&amp;type=national&amp;d=6","Results")</f>
        <v/>
      </c>
    </row>
    <row r="257">
      <c r="A257" t="inlineStr">
        <is>
          <t>256</t>
        </is>
      </c>
      <c r="B257" t="inlineStr">
        <is>
          <t>Harry Cronin</t>
        </is>
      </c>
      <c r="C257" t="inlineStr">
        <is>
          <t>Team V-Sprint Racing</t>
        </is>
      </c>
      <c r="D257" t="inlineStr">
        <is>
          <t>29</t>
        </is>
      </c>
      <c r="E257" s="2">
        <f>HYPERLINK("https://www.britishcycling.org.uk/points?person_id=491590&amp;year=2024&amp;type=national&amp;d=6","Results")</f>
        <v/>
      </c>
    </row>
    <row r="258">
      <c r="A258" t="inlineStr">
        <is>
          <t>257</t>
        </is>
      </c>
      <c r="B258" t="inlineStr">
        <is>
          <t>Tomos Nesham</t>
        </is>
      </c>
      <c r="C258" t="inlineStr">
        <is>
          <t>Cardiff JIF</t>
        </is>
      </c>
      <c r="D258" t="inlineStr">
        <is>
          <t>29</t>
        </is>
      </c>
      <c r="E258" s="2">
        <f>HYPERLINK("https://www.britishcycling.org.uk/points?person_id=179539&amp;year=2024&amp;type=national&amp;d=6","Results")</f>
        <v/>
      </c>
    </row>
    <row r="259">
      <c r="A259" t="inlineStr">
        <is>
          <t>258</t>
        </is>
      </c>
      <c r="B259" t="inlineStr">
        <is>
          <t>Samuel Painter</t>
        </is>
      </c>
      <c r="C259" t="inlineStr"/>
      <c r="D259" t="inlineStr">
        <is>
          <t>29</t>
        </is>
      </c>
      <c r="E259" s="2">
        <f>HYPERLINK("https://www.britishcycling.org.uk/points?person_id=274155&amp;year=2024&amp;type=national&amp;d=6","Results")</f>
        <v/>
      </c>
    </row>
    <row r="260">
      <c r="A260" t="inlineStr">
        <is>
          <t>259</t>
        </is>
      </c>
      <c r="B260" t="inlineStr">
        <is>
          <t>Raphael Tabiner</t>
        </is>
      </c>
      <c r="C260" t="inlineStr">
        <is>
          <t>Tofauti Everyone Active</t>
        </is>
      </c>
      <c r="D260" t="inlineStr">
        <is>
          <t>29</t>
        </is>
      </c>
      <c r="E260" s="2">
        <f>HYPERLINK("https://www.britishcycling.org.uk/points?person_id=524253&amp;year=2024&amp;type=national&amp;d=6","Results")</f>
        <v/>
      </c>
    </row>
    <row r="261">
      <c r="A261" t="inlineStr">
        <is>
          <t>260</t>
        </is>
      </c>
      <c r="B261" t="inlineStr">
        <is>
          <t>Michael Butler</t>
        </is>
      </c>
      <c r="C261" t="inlineStr">
        <is>
          <t>CX Cartel</t>
        </is>
      </c>
      <c r="D261" t="inlineStr">
        <is>
          <t>28</t>
        </is>
      </c>
      <c r="E261" s="2">
        <f>HYPERLINK("https://www.britishcycling.org.uk/points?person_id=28869&amp;year=2024&amp;type=national&amp;d=6","Results")</f>
        <v/>
      </c>
    </row>
    <row r="262">
      <c r="A262" t="inlineStr">
        <is>
          <t>261</t>
        </is>
      </c>
      <c r="B262" t="inlineStr">
        <is>
          <t>Vincent Christan</t>
        </is>
      </c>
      <c r="C262" t="inlineStr">
        <is>
          <t>East London Velo</t>
        </is>
      </c>
      <c r="D262" t="inlineStr">
        <is>
          <t>28</t>
        </is>
      </c>
      <c r="E262" s="2">
        <f>HYPERLINK("https://www.britishcycling.org.uk/points?person_id=272773&amp;year=2024&amp;type=national&amp;d=6","Results")</f>
        <v/>
      </c>
    </row>
    <row r="263">
      <c r="A263" t="inlineStr">
        <is>
          <t>262</t>
        </is>
      </c>
      <c r="B263" t="inlineStr">
        <is>
          <t>Thomas Smith</t>
        </is>
      </c>
      <c r="C263" t="inlineStr">
        <is>
          <t>Ex Machina</t>
        </is>
      </c>
      <c r="D263" t="inlineStr">
        <is>
          <t>28</t>
        </is>
      </c>
      <c r="E263" s="2">
        <f>HYPERLINK("https://www.britishcycling.org.uk/points?person_id=800971&amp;year=2024&amp;type=national&amp;d=6","Results")</f>
        <v/>
      </c>
    </row>
    <row r="264">
      <c r="A264" t="inlineStr">
        <is>
          <t>263</t>
        </is>
      </c>
      <c r="B264" t="inlineStr">
        <is>
          <t>Richard Akers</t>
        </is>
      </c>
      <c r="C264" t="inlineStr">
        <is>
          <t>RIAK Fitness</t>
        </is>
      </c>
      <c r="D264" t="inlineStr">
        <is>
          <t>27</t>
        </is>
      </c>
      <c r="E264" s="2">
        <f>HYPERLINK("https://www.britishcycling.org.uk/points?person_id=767199&amp;year=2024&amp;type=national&amp;d=6","Results")</f>
        <v/>
      </c>
    </row>
    <row r="265">
      <c r="A265" t="inlineStr">
        <is>
          <t>264</t>
        </is>
      </c>
      <c r="B265" t="inlineStr">
        <is>
          <t>Joe Homer</t>
        </is>
      </c>
      <c r="C265" t="inlineStr">
        <is>
          <t>Halesowen A &amp; CC</t>
        </is>
      </c>
      <c r="D265" t="inlineStr">
        <is>
          <t>27</t>
        </is>
      </c>
      <c r="E265" s="2">
        <f>HYPERLINK("https://www.britishcycling.org.uk/points?person_id=346297&amp;year=2024&amp;type=national&amp;d=6","Results")</f>
        <v/>
      </c>
    </row>
    <row r="266">
      <c r="A266" t="inlineStr">
        <is>
          <t>265</t>
        </is>
      </c>
      <c r="B266" t="inlineStr">
        <is>
          <t>Ash Mahoney</t>
        </is>
      </c>
      <c r="C266" t="inlineStr">
        <is>
          <t>Ziggurat Racing</t>
        </is>
      </c>
      <c r="D266" t="inlineStr">
        <is>
          <t>27</t>
        </is>
      </c>
      <c r="E266" s="2">
        <f>HYPERLINK("https://www.britishcycling.org.uk/points?person_id=497702&amp;year=2024&amp;type=national&amp;d=6","Results")</f>
        <v/>
      </c>
    </row>
    <row r="267">
      <c r="A267" t="inlineStr">
        <is>
          <t>266</t>
        </is>
      </c>
      <c r="B267" t="inlineStr">
        <is>
          <t>Benjamin Pearcey</t>
        </is>
      </c>
      <c r="C267" t="inlineStr">
        <is>
          <t>WestSide Coaching, 73 Degrees</t>
        </is>
      </c>
      <c r="D267" t="inlineStr">
        <is>
          <t>27</t>
        </is>
      </c>
      <c r="E267" s="2">
        <f>HYPERLINK("https://www.britishcycling.org.uk/points?person_id=853062&amp;year=2024&amp;type=national&amp;d=6","Results")</f>
        <v/>
      </c>
    </row>
    <row r="268">
      <c r="A268" t="inlineStr">
        <is>
          <t>267</t>
        </is>
      </c>
      <c r="B268" t="inlineStr">
        <is>
          <t>Dmytro Petrov</t>
        </is>
      </c>
      <c r="C268" t="inlineStr">
        <is>
          <t>Watford Velo Sport</t>
        </is>
      </c>
      <c r="D268" t="inlineStr">
        <is>
          <t>27</t>
        </is>
      </c>
      <c r="E268" s="2">
        <f>HYPERLINK("https://www.britishcycling.org.uk/points?person_id=1111159&amp;year=2024&amp;type=national&amp;d=6","Results")</f>
        <v/>
      </c>
    </row>
    <row r="269">
      <c r="A269" t="inlineStr">
        <is>
          <t>268</t>
        </is>
      </c>
      <c r="B269" t="inlineStr">
        <is>
          <t>Sam Andrews</t>
        </is>
      </c>
      <c r="C269" t="inlineStr">
        <is>
          <t>PDQ Cycle Coaching Property Elite</t>
        </is>
      </c>
      <c r="D269" t="inlineStr">
        <is>
          <t>26</t>
        </is>
      </c>
      <c r="E269" s="2">
        <f>HYPERLINK("https://www.britishcycling.org.uk/points?person_id=756777&amp;year=2024&amp;type=national&amp;d=6","Results")</f>
        <v/>
      </c>
    </row>
    <row r="270">
      <c r="A270" t="inlineStr">
        <is>
          <t>269</t>
        </is>
      </c>
      <c r="B270" t="inlineStr">
        <is>
          <t>Marcin Benisz</t>
        </is>
      </c>
      <c r="C270" t="inlineStr">
        <is>
          <t>Muckle Cycle Club</t>
        </is>
      </c>
      <c r="D270" t="inlineStr">
        <is>
          <t>26</t>
        </is>
      </c>
      <c r="E270" s="2">
        <f>HYPERLINK("https://www.britishcycling.org.uk/points?person_id=843234&amp;year=2024&amp;type=national&amp;d=6","Results")</f>
        <v/>
      </c>
    </row>
    <row r="271">
      <c r="A271" t="inlineStr">
        <is>
          <t>270</t>
        </is>
      </c>
      <c r="B271" t="inlineStr">
        <is>
          <t>Scott Chalmers</t>
        </is>
      </c>
      <c r="C271" t="inlineStr">
        <is>
          <t>Magspeed Racing</t>
        </is>
      </c>
      <c r="D271" t="inlineStr">
        <is>
          <t>26</t>
        </is>
      </c>
      <c r="E271" s="2">
        <f>HYPERLINK("https://www.britishcycling.org.uk/points?person_id=55436&amp;year=2024&amp;type=national&amp;d=6","Results")</f>
        <v/>
      </c>
    </row>
    <row r="272">
      <c r="A272" t="inlineStr">
        <is>
          <t>271</t>
        </is>
      </c>
      <c r="B272" t="inlineStr">
        <is>
          <t>Tom Hartwell</t>
        </is>
      </c>
      <c r="C272" t="inlineStr">
        <is>
          <t>Grity Race Team</t>
        </is>
      </c>
      <c r="D272" t="inlineStr">
        <is>
          <t>26</t>
        </is>
      </c>
      <c r="E272" s="2">
        <f>HYPERLINK("https://www.britishcycling.org.uk/points?person_id=829491&amp;year=2024&amp;type=national&amp;d=6","Results")</f>
        <v/>
      </c>
    </row>
    <row r="273">
      <c r="A273" t="inlineStr">
        <is>
          <t>272</t>
        </is>
      </c>
      <c r="B273" t="inlineStr">
        <is>
          <t>Ed Lloyd</t>
        </is>
      </c>
      <c r="C273" t="inlineStr">
        <is>
          <t>Poole Wheelers CC</t>
        </is>
      </c>
      <c r="D273" t="inlineStr">
        <is>
          <t>26</t>
        </is>
      </c>
      <c r="E273" s="2">
        <f>HYPERLINK("https://www.britishcycling.org.uk/points?person_id=1080749&amp;year=2024&amp;type=national&amp;d=6","Results")</f>
        <v/>
      </c>
    </row>
    <row r="274">
      <c r="A274" t="inlineStr">
        <is>
          <t>273</t>
        </is>
      </c>
      <c r="B274" t="inlineStr">
        <is>
          <t>Reuben Orr</t>
        </is>
      </c>
      <c r="C274" t="inlineStr">
        <is>
          <t>Clancy Briggs Cycling Academy</t>
        </is>
      </c>
      <c r="D274" t="inlineStr">
        <is>
          <t>26</t>
        </is>
      </c>
      <c r="E274" s="2">
        <f>HYPERLINK("https://www.britishcycling.org.uk/points?person_id=134391&amp;year=2024&amp;type=national&amp;d=6","Results")</f>
        <v/>
      </c>
    </row>
    <row r="275">
      <c r="A275" t="inlineStr">
        <is>
          <t>274</t>
        </is>
      </c>
      <c r="B275" t="inlineStr">
        <is>
          <t>Thomas Ramsay</t>
        </is>
      </c>
      <c r="C275" t="inlineStr">
        <is>
          <t>Wold Top Pactimo</t>
        </is>
      </c>
      <c r="D275" t="inlineStr">
        <is>
          <t>26</t>
        </is>
      </c>
      <c r="E275" s="2">
        <f>HYPERLINK("https://www.britishcycling.org.uk/points?person_id=186483&amp;year=2024&amp;type=national&amp;d=6","Results")</f>
        <v/>
      </c>
    </row>
    <row r="276">
      <c r="A276" t="inlineStr">
        <is>
          <t>275</t>
        </is>
      </c>
      <c r="B276" t="inlineStr">
        <is>
          <t>Max Suttie</t>
        </is>
      </c>
      <c r="C276" t="inlineStr"/>
      <c r="D276" t="inlineStr">
        <is>
          <t>26</t>
        </is>
      </c>
      <c r="E276" s="2">
        <f>HYPERLINK("https://www.britishcycling.org.uk/points?person_id=309637&amp;year=2024&amp;type=national&amp;d=6","Results")</f>
        <v/>
      </c>
    </row>
    <row r="277">
      <c r="A277" t="inlineStr">
        <is>
          <t>276</t>
        </is>
      </c>
      <c r="B277" t="inlineStr">
        <is>
          <t>Kev Tonner</t>
        </is>
      </c>
      <c r="C277" t="inlineStr">
        <is>
          <t>Sarum Velo</t>
        </is>
      </c>
      <c r="D277" t="inlineStr">
        <is>
          <t>26</t>
        </is>
      </c>
      <c r="E277" s="2">
        <f>HYPERLINK("https://www.britishcycling.org.uk/points?person_id=432032&amp;year=2024&amp;type=national&amp;d=6","Results")</f>
        <v/>
      </c>
    </row>
    <row r="278">
      <c r="A278" t="inlineStr">
        <is>
          <t>277</t>
        </is>
      </c>
      <c r="B278" t="inlineStr">
        <is>
          <t>David Brazier</t>
        </is>
      </c>
      <c r="C278" t="inlineStr">
        <is>
          <t>Sarum Velo</t>
        </is>
      </c>
      <c r="D278" t="inlineStr">
        <is>
          <t>25</t>
        </is>
      </c>
      <c r="E278" s="2">
        <f>HYPERLINK("https://www.britishcycling.org.uk/points?person_id=512146&amp;year=2024&amp;type=national&amp;d=6","Results")</f>
        <v/>
      </c>
    </row>
    <row r="279">
      <c r="A279" t="inlineStr">
        <is>
          <t>278</t>
        </is>
      </c>
      <c r="B279" t="inlineStr">
        <is>
          <t>Thomas Frater</t>
        </is>
      </c>
      <c r="C279" t="inlineStr"/>
      <c r="D279" t="inlineStr">
        <is>
          <t>25</t>
        </is>
      </c>
      <c r="E279" s="2">
        <f>HYPERLINK("https://www.britishcycling.org.uk/points?person_id=187658&amp;year=2024&amp;type=national&amp;d=6","Results")</f>
        <v/>
      </c>
    </row>
    <row r="280">
      <c r="A280" t="inlineStr">
        <is>
          <t>279</t>
        </is>
      </c>
      <c r="B280" t="inlineStr">
        <is>
          <t>Mark Walker</t>
        </is>
      </c>
      <c r="C280" t="inlineStr">
        <is>
          <t>Plymouth Corinthian CC</t>
        </is>
      </c>
      <c r="D280" t="inlineStr">
        <is>
          <t>25</t>
        </is>
      </c>
      <c r="E280" s="2">
        <f>HYPERLINK("https://www.britishcycling.org.uk/points?person_id=657428&amp;year=2024&amp;type=national&amp;d=6","Results")</f>
        <v/>
      </c>
    </row>
    <row r="281">
      <c r="A281" t="inlineStr">
        <is>
          <t>280</t>
        </is>
      </c>
      <c r="B281" t="inlineStr">
        <is>
          <t>Oliver Baker</t>
        </is>
      </c>
      <c r="C281" t="inlineStr">
        <is>
          <t>Wolverhampton Wheelers</t>
        </is>
      </c>
      <c r="D281" t="inlineStr">
        <is>
          <t>24</t>
        </is>
      </c>
      <c r="E281" s="2">
        <f>HYPERLINK("https://www.britishcycling.org.uk/points?person_id=296084&amp;year=2024&amp;type=national&amp;d=6","Results")</f>
        <v/>
      </c>
    </row>
    <row r="282">
      <c r="A282" t="inlineStr">
        <is>
          <t>281</t>
        </is>
      </c>
      <c r="B282" t="inlineStr">
        <is>
          <t>Martin Brown</t>
        </is>
      </c>
      <c r="C282" t="inlineStr">
        <is>
          <t>Smiley's Flight Club</t>
        </is>
      </c>
      <c r="D282" t="inlineStr">
        <is>
          <t>24</t>
        </is>
      </c>
      <c r="E282" s="2">
        <f>HYPERLINK("https://www.britishcycling.org.uk/points?person_id=56042&amp;year=2024&amp;type=national&amp;d=6","Results")</f>
        <v/>
      </c>
    </row>
    <row r="283">
      <c r="A283" t="inlineStr">
        <is>
          <t>282</t>
        </is>
      </c>
      <c r="B283" t="inlineStr">
        <is>
          <t>Joe Curran</t>
        </is>
      </c>
      <c r="C283" t="inlineStr">
        <is>
          <t>Muckle Cycle Club</t>
        </is>
      </c>
      <c r="D283" t="inlineStr">
        <is>
          <t>24</t>
        </is>
      </c>
      <c r="E283" s="2">
        <f>HYPERLINK("https://www.britishcycling.org.uk/points?person_id=391602&amp;year=2024&amp;type=national&amp;d=6","Results")</f>
        <v/>
      </c>
    </row>
    <row r="284">
      <c r="A284" t="inlineStr">
        <is>
          <t>283</t>
        </is>
      </c>
      <c r="B284" t="inlineStr">
        <is>
          <t>Gabriel Dellar</t>
        </is>
      </c>
      <c r="C284" t="inlineStr">
        <is>
          <t>Schils -  Doltcini Racing Team</t>
        </is>
      </c>
      <c r="D284" t="inlineStr">
        <is>
          <t>24</t>
        </is>
      </c>
      <c r="E284" s="2">
        <f>HYPERLINK("https://www.britishcycling.org.uk/points?person_id=1011434&amp;year=2024&amp;type=national&amp;d=6","Results")</f>
        <v/>
      </c>
    </row>
    <row r="285">
      <c r="A285" t="inlineStr">
        <is>
          <t>284</t>
        </is>
      </c>
      <c r="B285" t="inlineStr">
        <is>
          <t>Jack Hartley</t>
        </is>
      </c>
      <c r="C285" t="inlineStr">
        <is>
          <t>UV Aube</t>
        </is>
      </c>
      <c r="D285" t="inlineStr">
        <is>
          <t>24</t>
        </is>
      </c>
      <c r="E285" s="2">
        <f>HYPERLINK("https://www.britishcycling.org.uk/points?person_id=848560&amp;year=2024&amp;type=national&amp;d=6","Results")</f>
        <v/>
      </c>
    </row>
    <row r="286">
      <c r="A286" t="inlineStr">
        <is>
          <t>285</t>
        </is>
      </c>
      <c r="B286" t="inlineStr">
        <is>
          <t>Pedro Hutchinson</t>
        </is>
      </c>
      <c r="C286" t="inlineStr">
        <is>
          <t>trainSharp Development Team</t>
        </is>
      </c>
      <c r="D286" t="inlineStr">
        <is>
          <t>24</t>
        </is>
      </c>
      <c r="E286" s="2">
        <f>HYPERLINK("https://www.britishcycling.org.uk/points?person_id=1001672&amp;year=2024&amp;type=national&amp;d=6","Results")</f>
        <v/>
      </c>
    </row>
    <row r="287">
      <c r="A287" t="inlineStr">
        <is>
          <t>286</t>
        </is>
      </c>
      <c r="B287" t="inlineStr">
        <is>
          <t>Aaron Lawrence</t>
        </is>
      </c>
      <c r="C287" t="inlineStr">
        <is>
          <t>Exeter Wheelers</t>
        </is>
      </c>
      <c r="D287" t="inlineStr">
        <is>
          <t>24</t>
        </is>
      </c>
      <c r="E287" s="2">
        <f>HYPERLINK("https://www.britishcycling.org.uk/points?person_id=1131001&amp;year=2024&amp;type=national&amp;d=6","Results")</f>
        <v/>
      </c>
    </row>
    <row r="288">
      <c r="A288" t="inlineStr">
        <is>
          <t>287</t>
        </is>
      </c>
      <c r="B288" t="inlineStr">
        <is>
          <t>William Neill</t>
        </is>
      </c>
      <c r="C288" t="inlineStr">
        <is>
          <t>Leek Cyclists Club</t>
        </is>
      </c>
      <c r="D288" t="inlineStr">
        <is>
          <t>24</t>
        </is>
      </c>
      <c r="E288" s="2">
        <f>HYPERLINK("https://www.britishcycling.org.uk/points?person_id=406277&amp;year=2024&amp;type=national&amp;d=6","Results")</f>
        <v/>
      </c>
    </row>
    <row r="289">
      <c r="A289" t="inlineStr">
        <is>
          <t>288</t>
        </is>
      </c>
      <c r="B289" t="inlineStr">
        <is>
          <t>Ollie Smith</t>
        </is>
      </c>
      <c r="C289" t="inlineStr"/>
      <c r="D289" t="inlineStr">
        <is>
          <t>24</t>
        </is>
      </c>
      <c r="E289" s="2">
        <f>HYPERLINK("https://www.britishcycling.org.uk/points?person_id=571057&amp;year=2024&amp;type=national&amp;d=6","Results")</f>
        <v/>
      </c>
    </row>
    <row r="290">
      <c r="A290" t="inlineStr">
        <is>
          <t>289</t>
        </is>
      </c>
      <c r="B290" t="inlineStr">
        <is>
          <t>James Blakey</t>
        </is>
      </c>
      <c r="C290" t="inlineStr">
        <is>
          <t>Ride Revolution Coaching</t>
        </is>
      </c>
      <c r="D290" t="inlineStr">
        <is>
          <t>23</t>
        </is>
      </c>
      <c r="E290" s="2">
        <f>HYPERLINK("https://www.britishcycling.org.uk/points?person_id=993507&amp;year=2024&amp;type=national&amp;d=6","Results")</f>
        <v/>
      </c>
    </row>
    <row r="291">
      <c r="A291" t="inlineStr">
        <is>
          <t>290</t>
        </is>
      </c>
      <c r="B291" t="inlineStr">
        <is>
          <t>Evan Powell</t>
        </is>
      </c>
      <c r="C291" t="inlineStr">
        <is>
          <t>Pontypool RCC</t>
        </is>
      </c>
      <c r="D291" t="inlineStr">
        <is>
          <t>23</t>
        </is>
      </c>
      <c r="E291" s="2">
        <f>HYPERLINK("https://www.britishcycling.org.uk/points?person_id=69239&amp;year=2024&amp;type=national&amp;d=6","Results")</f>
        <v/>
      </c>
    </row>
    <row r="292">
      <c r="A292" t="inlineStr">
        <is>
          <t>291</t>
        </is>
      </c>
      <c r="B292" t="inlineStr">
        <is>
          <t>Ryan Clarke</t>
        </is>
      </c>
      <c r="C292" t="inlineStr">
        <is>
          <t>Ilkeston Cycle Club</t>
        </is>
      </c>
      <c r="D292" t="inlineStr">
        <is>
          <t>22</t>
        </is>
      </c>
      <c r="E292" s="2">
        <f>HYPERLINK("https://www.britishcycling.org.uk/points?person_id=782867&amp;year=2024&amp;type=national&amp;d=6","Results")</f>
        <v/>
      </c>
    </row>
    <row r="293">
      <c r="A293" t="inlineStr">
        <is>
          <t>292</t>
        </is>
      </c>
      <c r="B293" t="inlineStr">
        <is>
          <t>James Dear</t>
        </is>
      </c>
      <c r="C293" t="inlineStr">
        <is>
          <t>Destination Bike RT</t>
        </is>
      </c>
      <c r="D293" t="inlineStr">
        <is>
          <t>22</t>
        </is>
      </c>
      <c r="E293" s="2">
        <f>HYPERLINK("https://www.britishcycling.org.uk/points?person_id=71029&amp;year=2024&amp;type=national&amp;d=6","Results")</f>
        <v/>
      </c>
    </row>
    <row r="294">
      <c r="A294" t="inlineStr">
        <is>
          <t>293</t>
        </is>
      </c>
      <c r="B294" t="inlineStr">
        <is>
          <t>James Edmond</t>
        </is>
      </c>
      <c r="C294" t="inlineStr">
        <is>
          <t>Endurance Academy</t>
        </is>
      </c>
      <c r="D294" t="inlineStr">
        <is>
          <t>22</t>
        </is>
      </c>
      <c r="E294" s="2">
        <f>HYPERLINK("https://www.britishcycling.org.uk/points?person_id=39612&amp;year=2024&amp;type=national&amp;d=6","Results")</f>
        <v/>
      </c>
    </row>
    <row r="295">
      <c r="A295" t="inlineStr">
        <is>
          <t>294</t>
        </is>
      </c>
      <c r="B295" t="inlineStr">
        <is>
          <t>Gabriel Hamon</t>
        </is>
      </c>
      <c r="C295" t="inlineStr">
        <is>
          <t>Royal Air Force CA</t>
        </is>
      </c>
      <c r="D295" t="inlineStr">
        <is>
          <t>22</t>
        </is>
      </c>
      <c r="E295" s="2">
        <f>HYPERLINK("https://www.britishcycling.org.uk/points?person_id=830640&amp;year=2024&amp;type=national&amp;d=6","Results")</f>
        <v/>
      </c>
    </row>
    <row r="296">
      <c r="A296" t="inlineStr">
        <is>
          <t>295</t>
        </is>
      </c>
      <c r="B296" t="inlineStr">
        <is>
          <t>Joe Kempton</t>
        </is>
      </c>
      <c r="C296" t="inlineStr"/>
      <c r="D296" t="inlineStr">
        <is>
          <t>22</t>
        </is>
      </c>
      <c r="E296" s="2">
        <f>HYPERLINK("https://www.britishcycling.org.uk/points?person_id=992079&amp;year=2024&amp;type=national&amp;d=6","Results")</f>
        <v/>
      </c>
    </row>
    <row r="297">
      <c r="A297" t="inlineStr">
        <is>
          <t>296</t>
        </is>
      </c>
      <c r="B297" t="inlineStr">
        <is>
          <t>Finlay Mowat</t>
        </is>
      </c>
      <c r="C297" t="inlineStr">
        <is>
          <t>Avid Sport</t>
        </is>
      </c>
      <c r="D297" t="inlineStr">
        <is>
          <t>22</t>
        </is>
      </c>
      <c r="E297" s="2">
        <f>HYPERLINK("https://www.britishcycling.org.uk/points?person_id=973812&amp;year=2024&amp;type=national&amp;d=6","Results")</f>
        <v/>
      </c>
    </row>
    <row r="298">
      <c r="A298" t="inlineStr">
        <is>
          <t>297</t>
        </is>
      </c>
      <c r="B298" t="inlineStr">
        <is>
          <t>Matthew Noble</t>
        </is>
      </c>
      <c r="C298" t="inlineStr">
        <is>
          <t>OCTAVE</t>
        </is>
      </c>
      <c r="D298" t="inlineStr">
        <is>
          <t>22</t>
        </is>
      </c>
      <c r="E298" s="2">
        <f>HYPERLINK("https://www.britishcycling.org.uk/points?person_id=207806&amp;year=2024&amp;type=national&amp;d=6","Results")</f>
        <v/>
      </c>
    </row>
    <row r="299">
      <c r="A299" t="inlineStr">
        <is>
          <t>298</t>
        </is>
      </c>
      <c r="B299" t="inlineStr">
        <is>
          <t>Oscar Smith</t>
        </is>
      </c>
      <c r="C299" t="inlineStr">
        <is>
          <t>Peterborough Cycling Club</t>
        </is>
      </c>
      <c r="D299" t="inlineStr">
        <is>
          <t>22</t>
        </is>
      </c>
      <c r="E299" s="2">
        <f>HYPERLINK("https://www.britishcycling.org.uk/points?person_id=990725&amp;year=2024&amp;type=national&amp;d=6","Results")</f>
        <v/>
      </c>
    </row>
    <row r="300">
      <c r="A300" t="inlineStr">
        <is>
          <t>299</t>
        </is>
      </c>
      <c r="B300" t="inlineStr">
        <is>
          <t>Kirk Vickers</t>
        </is>
      </c>
      <c r="C300" t="inlineStr">
        <is>
          <t>Holohan Coaching Race Team</t>
        </is>
      </c>
      <c r="D300" t="inlineStr">
        <is>
          <t>22</t>
        </is>
      </c>
      <c r="E300" s="2">
        <f>HYPERLINK("https://www.britishcycling.org.uk/points?person_id=107131&amp;year=2024&amp;type=national&amp;d=6","Results")</f>
        <v/>
      </c>
    </row>
    <row r="301">
      <c r="A301" t="inlineStr">
        <is>
          <t>300</t>
        </is>
      </c>
      <c r="B301" t="inlineStr">
        <is>
          <t>Michael Parry</t>
        </is>
      </c>
      <c r="C301" t="inlineStr">
        <is>
          <t>Verulam CC</t>
        </is>
      </c>
      <c r="D301" t="inlineStr">
        <is>
          <t>21</t>
        </is>
      </c>
      <c r="E301" s="2">
        <f>HYPERLINK("https://www.britishcycling.org.uk/points?person_id=15544&amp;year=2024&amp;type=national&amp;d=6","Results")</f>
        <v/>
      </c>
    </row>
    <row r="302">
      <c r="A302" t="inlineStr">
        <is>
          <t>301</t>
        </is>
      </c>
      <c r="B302" t="inlineStr">
        <is>
          <t>James Robertson</t>
        </is>
      </c>
      <c r="C302" t="inlineStr">
        <is>
          <t>Ross-Shire RCC</t>
        </is>
      </c>
      <c r="D302" t="inlineStr">
        <is>
          <t>21</t>
        </is>
      </c>
      <c r="E302" s="2">
        <f>HYPERLINK("https://www.britishcycling.org.uk/points?person_id=423653&amp;year=2024&amp;type=national&amp;d=6","Results")</f>
        <v/>
      </c>
    </row>
    <row r="303">
      <c r="A303" t="inlineStr">
        <is>
          <t>302</t>
        </is>
      </c>
      <c r="B303" t="inlineStr">
        <is>
          <t>Ashley Towey</t>
        </is>
      </c>
      <c r="C303" t="inlineStr">
        <is>
          <t>Team Tor 2000 Kalas</t>
        </is>
      </c>
      <c r="D303" t="inlineStr">
        <is>
          <t>21</t>
        </is>
      </c>
      <c r="E303" s="2">
        <f>HYPERLINK("https://www.britishcycling.org.uk/points?person_id=378051&amp;year=2024&amp;type=national&amp;d=6","Results")</f>
        <v/>
      </c>
    </row>
    <row r="304">
      <c r="A304" t="inlineStr">
        <is>
          <t>303</t>
        </is>
      </c>
      <c r="B304" t="inlineStr">
        <is>
          <t>Daniel Butlin</t>
        </is>
      </c>
      <c r="C304" t="inlineStr">
        <is>
          <t>Rush Racing</t>
        </is>
      </c>
      <c r="D304" t="inlineStr">
        <is>
          <t>20</t>
        </is>
      </c>
      <c r="E304" s="2">
        <f>HYPERLINK("https://www.britishcycling.org.uk/points?person_id=487820&amp;year=2024&amp;type=national&amp;d=6","Results")</f>
        <v/>
      </c>
    </row>
    <row r="305">
      <c r="A305" t="inlineStr">
        <is>
          <t>304</t>
        </is>
      </c>
      <c r="B305" t="inlineStr">
        <is>
          <t>Jamie Gostick</t>
        </is>
      </c>
      <c r="C305" t="inlineStr">
        <is>
          <t>Team PB Performance</t>
        </is>
      </c>
      <c r="D305" t="inlineStr">
        <is>
          <t>20</t>
        </is>
      </c>
      <c r="E305" s="2">
        <f>HYPERLINK("https://www.britishcycling.org.uk/points?person_id=135529&amp;year=2024&amp;type=national&amp;d=6","Results")</f>
        <v/>
      </c>
    </row>
    <row r="306">
      <c r="A306" t="inlineStr">
        <is>
          <t>305</t>
        </is>
      </c>
      <c r="B306" t="inlineStr">
        <is>
          <t>Andres Gras</t>
        </is>
      </c>
      <c r="C306" t="inlineStr"/>
      <c r="D306" t="inlineStr">
        <is>
          <t>20</t>
        </is>
      </c>
      <c r="E306" s="2">
        <f>HYPERLINK("https://www.britishcycling.org.uk/points?person_id=1159562&amp;year=2024&amp;type=national&amp;d=6","Results")</f>
        <v/>
      </c>
    </row>
    <row r="307">
      <c r="A307" t="inlineStr">
        <is>
          <t>306</t>
        </is>
      </c>
      <c r="B307" t="inlineStr">
        <is>
          <t>Stuart Jones</t>
        </is>
      </c>
      <c r="C307" t="inlineStr">
        <is>
          <t>Black Country Racing Club</t>
        </is>
      </c>
      <c r="D307" t="inlineStr">
        <is>
          <t>20</t>
        </is>
      </c>
      <c r="E307" s="2">
        <f>HYPERLINK("https://www.britishcycling.org.uk/points?person_id=27998&amp;year=2024&amp;type=national&amp;d=6","Results")</f>
        <v/>
      </c>
    </row>
    <row r="308">
      <c r="A308" t="inlineStr">
        <is>
          <t>307</t>
        </is>
      </c>
      <c r="B308" t="inlineStr">
        <is>
          <t>Sam Kettlewell</t>
        </is>
      </c>
      <c r="C308" t="inlineStr">
        <is>
          <t>Spirit TBW Stuart Hall Cycling</t>
        </is>
      </c>
      <c r="D308" t="inlineStr">
        <is>
          <t>20</t>
        </is>
      </c>
      <c r="E308" s="2">
        <f>HYPERLINK("https://www.britishcycling.org.uk/points?person_id=801055&amp;year=2024&amp;type=national&amp;d=6","Results")</f>
        <v/>
      </c>
    </row>
    <row r="309">
      <c r="A309" t="inlineStr">
        <is>
          <t>308</t>
        </is>
      </c>
      <c r="B309" t="inlineStr">
        <is>
          <t>Harry Streeton</t>
        </is>
      </c>
      <c r="C309" t="inlineStr"/>
      <c r="D309" t="inlineStr">
        <is>
          <t>20</t>
        </is>
      </c>
      <c r="E309" s="2">
        <f>HYPERLINK("https://www.britishcycling.org.uk/points?person_id=439733&amp;year=2024&amp;type=national&amp;d=6","Results")</f>
        <v/>
      </c>
    </row>
    <row r="310">
      <c r="A310" t="inlineStr">
        <is>
          <t>309</t>
        </is>
      </c>
      <c r="B310" t="inlineStr">
        <is>
          <t>Matt Tomlinson</t>
        </is>
      </c>
      <c r="C310" t="inlineStr">
        <is>
          <t>Beeley RT</t>
        </is>
      </c>
      <c r="D310" t="inlineStr">
        <is>
          <t>20</t>
        </is>
      </c>
      <c r="E310" s="2">
        <f>HYPERLINK("https://www.britishcycling.org.uk/points?person_id=1014337&amp;year=2024&amp;type=national&amp;d=6","Results")</f>
        <v/>
      </c>
    </row>
    <row r="311">
      <c r="A311" t="inlineStr">
        <is>
          <t>310</t>
        </is>
      </c>
      <c r="B311" t="inlineStr">
        <is>
          <t>Felix Whetter</t>
        </is>
      </c>
      <c r="C311" t="inlineStr">
        <is>
          <t>SN Vitae Huub p/b BimBam Coaching</t>
        </is>
      </c>
      <c r="D311" t="inlineStr">
        <is>
          <t>20</t>
        </is>
      </c>
      <c r="E311" s="2">
        <f>HYPERLINK("https://www.britishcycling.org.uk/points?person_id=960523&amp;year=2024&amp;type=national&amp;d=6","Results")</f>
        <v/>
      </c>
    </row>
    <row r="312">
      <c r="A312" t="inlineStr">
        <is>
          <t>311</t>
        </is>
      </c>
      <c r="B312" t="inlineStr">
        <is>
          <t>Thomas Yeatman</t>
        </is>
      </c>
      <c r="C312" t="inlineStr">
        <is>
          <t>TY Cycles Race Team</t>
        </is>
      </c>
      <c r="D312" t="inlineStr">
        <is>
          <t>20</t>
        </is>
      </c>
      <c r="E312" s="2">
        <f>HYPERLINK("https://www.britishcycling.org.uk/points?person_id=44093&amp;year=2024&amp;type=national&amp;d=6","Results")</f>
        <v/>
      </c>
    </row>
    <row r="313">
      <c r="A313" t="inlineStr">
        <is>
          <t>312</t>
        </is>
      </c>
      <c r="B313" t="inlineStr">
        <is>
          <t>Jack Samways</t>
        </is>
      </c>
      <c r="C313" t="inlineStr">
        <is>
          <t>Watford Velo Sport</t>
        </is>
      </c>
      <c r="D313" t="inlineStr">
        <is>
          <t>19</t>
        </is>
      </c>
      <c r="E313" s="2">
        <f>HYPERLINK("https://www.britishcycling.org.uk/points?person_id=270916&amp;year=2024&amp;type=national&amp;d=6","Results")</f>
        <v/>
      </c>
    </row>
    <row r="314">
      <c r="A314" t="inlineStr">
        <is>
          <t>313</t>
        </is>
      </c>
      <c r="B314" t="inlineStr">
        <is>
          <t>James Stewart</t>
        </is>
      </c>
      <c r="C314" t="inlineStr">
        <is>
          <t>Army Cycling Union</t>
        </is>
      </c>
      <c r="D314" t="inlineStr">
        <is>
          <t>19</t>
        </is>
      </c>
      <c r="E314" s="2">
        <f>HYPERLINK("https://www.britishcycling.org.uk/points?person_id=423624&amp;year=2024&amp;type=national&amp;d=6","Results")</f>
        <v/>
      </c>
    </row>
    <row r="315">
      <c r="A315" t="inlineStr">
        <is>
          <t>314</t>
        </is>
      </c>
      <c r="B315" t="inlineStr">
        <is>
          <t>Jack Trainer</t>
        </is>
      </c>
      <c r="C315" t="inlineStr">
        <is>
          <t>Houghton Cycling Club</t>
        </is>
      </c>
      <c r="D315" t="inlineStr">
        <is>
          <t>19</t>
        </is>
      </c>
      <c r="E315" s="2">
        <f>HYPERLINK("https://www.britishcycling.org.uk/points?person_id=1146159&amp;year=2024&amp;type=national&amp;d=6","Results")</f>
        <v/>
      </c>
    </row>
    <row r="316">
      <c r="A316" t="inlineStr">
        <is>
          <t>315</t>
        </is>
      </c>
      <c r="B316" t="inlineStr">
        <is>
          <t>Joshua Croxton</t>
        </is>
      </c>
      <c r="C316" t="inlineStr">
        <is>
          <t>Team Tor 2000 Kalas</t>
        </is>
      </c>
      <c r="D316" t="inlineStr">
        <is>
          <t>18</t>
        </is>
      </c>
      <c r="E316" s="2">
        <f>HYPERLINK("https://www.britishcycling.org.uk/points?person_id=448289&amp;year=2024&amp;type=national&amp;d=6","Results")</f>
        <v/>
      </c>
    </row>
    <row r="317">
      <c r="A317" t="inlineStr">
        <is>
          <t>316</t>
        </is>
      </c>
      <c r="B317" t="inlineStr">
        <is>
          <t>Ryan Forde</t>
        </is>
      </c>
      <c r="C317" t="inlineStr">
        <is>
          <t>Albarosa Cycling Club</t>
        </is>
      </c>
      <c r="D317" t="inlineStr">
        <is>
          <t>18</t>
        </is>
      </c>
      <c r="E317" s="2">
        <f>HYPERLINK("https://www.britishcycling.org.uk/points?person_id=753556&amp;year=2024&amp;type=national&amp;d=6","Results")</f>
        <v/>
      </c>
    </row>
    <row r="318">
      <c r="A318" t="inlineStr">
        <is>
          <t>317</t>
        </is>
      </c>
      <c r="B318" t="inlineStr">
        <is>
          <t>Ryan Keynes</t>
        </is>
      </c>
      <c r="C318" t="inlineStr">
        <is>
          <t>GS Mossa</t>
        </is>
      </c>
      <c r="D318" t="inlineStr">
        <is>
          <t>18</t>
        </is>
      </c>
      <c r="E318" s="2">
        <f>HYPERLINK("https://www.britishcycling.org.uk/points?person_id=3714&amp;year=2024&amp;type=national&amp;d=6","Results")</f>
        <v/>
      </c>
    </row>
    <row r="319">
      <c r="A319" t="inlineStr">
        <is>
          <t>318</t>
        </is>
      </c>
      <c r="B319" t="inlineStr">
        <is>
          <t>Peter Link</t>
        </is>
      </c>
      <c r="C319" t="inlineStr">
        <is>
          <t>VC Deal</t>
        </is>
      </c>
      <c r="D319" t="inlineStr">
        <is>
          <t>18</t>
        </is>
      </c>
      <c r="E319" s="2">
        <f>HYPERLINK("https://www.britishcycling.org.uk/points?person_id=535141&amp;year=2024&amp;type=national&amp;d=6","Results")</f>
        <v/>
      </c>
    </row>
    <row r="320">
      <c r="A320" t="inlineStr">
        <is>
          <t>319</t>
        </is>
      </c>
      <c r="B320" t="inlineStr">
        <is>
          <t>Finlay Robertson</t>
        </is>
      </c>
      <c r="C320" t="inlineStr">
        <is>
          <t>Wheelbase CabTech Castelli</t>
        </is>
      </c>
      <c r="D320" t="inlineStr">
        <is>
          <t>18</t>
        </is>
      </c>
      <c r="E320" s="2">
        <f>HYPERLINK("https://www.britishcycling.org.uk/points?person_id=105226&amp;year=2024&amp;type=national&amp;d=6","Results")</f>
        <v/>
      </c>
    </row>
    <row r="321">
      <c r="A321" t="inlineStr">
        <is>
          <t>320</t>
        </is>
      </c>
      <c r="B321" t="inlineStr">
        <is>
          <t>Mike Simpson</t>
        </is>
      </c>
      <c r="C321" t="inlineStr">
        <is>
          <t>Beeline Bicycles - Sorb</t>
        </is>
      </c>
      <c r="D321" t="inlineStr">
        <is>
          <t>18</t>
        </is>
      </c>
      <c r="E321" s="2">
        <f>HYPERLINK("https://www.britishcycling.org.uk/points?person_id=37986&amp;year=2024&amp;type=national&amp;d=6","Results")</f>
        <v/>
      </c>
    </row>
    <row r="322">
      <c r="A322" t="inlineStr">
        <is>
          <t>321</t>
        </is>
      </c>
      <c r="B322" t="inlineStr">
        <is>
          <t>Ruan Vorster</t>
        </is>
      </c>
      <c r="C322" t="inlineStr">
        <is>
          <t>The Cycling Academy</t>
        </is>
      </c>
      <c r="D322" t="inlineStr">
        <is>
          <t>18</t>
        </is>
      </c>
      <c r="E322" s="2">
        <f>HYPERLINK("https://www.britishcycling.org.uk/points?person_id=837786&amp;year=2024&amp;type=national&amp;d=6","Results")</f>
        <v/>
      </c>
    </row>
    <row r="323">
      <c r="A323" t="inlineStr">
        <is>
          <t>322</t>
        </is>
      </c>
      <c r="B323" t="inlineStr">
        <is>
          <t>Gareth Davies</t>
        </is>
      </c>
      <c r="C323" t="inlineStr">
        <is>
          <t>Nova Race Team</t>
        </is>
      </c>
      <c r="D323" t="inlineStr">
        <is>
          <t>17</t>
        </is>
      </c>
      <c r="E323" s="2">
        <f>HYPERLINK("https://www.britishcycling.org.uk/points?person_id=388806&amp;year=2024&amp;type=national&amp;d=6","Results")</f>
        <v/>
      </c>
    </row>
    <row r="324">
      <c r="A324" t="inlineStr">
        <is>
          <t>323</t>
        </is>
      </c>
      <c r="B324" t="inlineStr">
        <is>
          <t>Andrew Lindsay</t>
        </is>
      </c>
      <c r="C324" t="inlineStr">
        <is>
          <t>Nova Race Team</t>
        </is>
      </c>
      <c r="D324" t="inlineStr">
        <is>
          <t>17</t>
        </is>
      </c>
      <c r="E324" s="2">
        <f>HYPERLINK("https://www.britishcycling.org.uk/points?person_id=256947&amp;year=2024&amp;type=national&amp;d=6","Results")</f>
        <v/>
      </c>
    </row>
    <row r="325">
      <c r="A325" t="inlineStr">
        <is>
          <t>324</t>
        </is>
      </c>
      <c r="B325" t="inlineStr">
        <is>
          <t>James Little</t>
        </is>
      </c>
      <c r="C325" t="inlineStr">
        <is>
          <t>Trek Sheffield Fox Valley</t>
        </is>
      </c>
      <c r="D325" t="inlineStr">
        <is>
          <t>17</t>
        </is>
      </c>
      <c r="E325" s="2">
        <f>HYPERLINK("https://www.britishcycling.org.uk/points?person_id=372075&amp;year=2024&amp;type=national&amp;d=6","Results")</f>
        <v/>
      </c>
    </row>
    <row r="326">
      <c r="A326" t="inlineStr">
        <is>
          <t>325</t>
        </is>
      </c>
      <c r="B326" t="inlineStr">
        <is>
          <t>Matthew Morris</t>
        </is>
      </c>
      <c r="C326" t="inlineStr">
        <is>
          <t>Giant Kendal-Sidas UK</t>
        </is>
      </c>
      <c r="D326" t="inlineStr">
        <is>
          <t>17</t>
        </is>
      </c>
      <c r="E326" s="2">
        <f>HYPERLINK("https://www.britishcycling.org.uk/points?person_id=976825&amp;year=2024&amp;type=national&amp;d=6","Results")</f>
        <v/>
      </c>
    </row>
    <row r="327">
      <c r="A327" t="inlineStr">
        <is>
          <t>326</t>
        </is>
      </c>
      <c r="B327" t="inlineStr">
        <is>
          <t>Toby Turner</t>
        </is>
      </c>
      <c r="C327" t="inlineStr"/>
      <c r="D327" t="inlineStr">
        <is>
          <t>17</t>
        </is>
      </c>
      <c r="E327" s="2">
        <f>HYPERLINK("https://www.britishcycling.org.uk/points?person_id=866475&amp;year=2024&amp;type=national&amp;d=6","Results")</f>
        <v/>
      </c>
    </row>
    <row r="328">
      <c r="A328" t="inlineStr">
        <is>
          <t>327</t>
        </is>
      </c>
      <c r="B328" t="inlineStr">
        <is>
          <t>Olly Bowles</t>
        </is>
      </c>
      <c r="C328" t="inlineStr">
        <is>
          <t>Venture Racing</t>
        </is>
      </c>
      <c r="D328" t="inlineStr">
        <is>
          <t>16</t>
        </is>
      </c>
      <c r="E328" s="2">
        <f>HYPERLINK("https://www.britishcycling.org.uk/points?person_id=931370&amp;year=2024&amp;type=national&amp;d=6","Results")</f>
        <v/>
      </c>
    </row>
    <row r="329">
      <c r="A329" t="inlineStr">
        <is>
          <t>328</t>
        </is>
      </c>
      <c r="B329" t="inlineStr">
        <is>
          <t>Harry Codd</t>
        </is>
      </c>
      <c r="C329" t="inlineStr">
        <is>
          <t>University of Bath Cycling Club</t>
        </is>
      </c>
      <c r="D329" t="inlineStr">
        <is>
          <t>16</t>
        </is>
      </c>
      <c r="E329" s="2">
        <f>HYPERLINK("https://www.britishcycling.org.uk/points?person_id=136045&amp;year=2024&amp;type=national&amp;d=6","Results")</f>
        <v/>
      </c>
    </row>
    <row r="330">
      <c r="A330" t="inlineStr">
        <is>
          <t>329</t>
        </is>
      </c>
      <c r="B330" t="inlineStr">
        <is>
          <t>Jono Davis</t>
        </is>
      </c>
      <c r="C330" t="inlineStr">
        <is>
          <t>Rapha Cycling Club</t>
        </is>
      </c>
      <c r="D330" t="inlineStr">
        <is>
          <t>16</t>
        </is>
      </c>
      <c r="E330" s="2">
        <f>HYPERLINK("https://www.britishcycling.org.uk/points?person_id=1000736&amp;year=2024&amp;type=national&amp;d=6","Results")</f>
        <v/>
      </c>
    </row>
    <row r="331">
      <c r="A331" t="inlineStr">
        <is>
          <t>330</t>
        </is>
      </c>
      <c r="B331" t="inlineStr">
        <is>
          <t>Tobias Edwards</t>
        </is>
      </c>
      <c r="C331" t="inlineStr">
        <is>
          <t>Team Lifting Gear Products</t>
        </is>
      </c>
      <c r="D331" t="inlineStr">
        <is>
          <t>16</t>
        </is>
      </c>
      <c r="E331" s="2">
        <f>HYPERLINK("https://www.britishcycling.org.uk/points?person_id=421956&amp;year=2024&amp;type=national&amp;d=6","Results")</f>
        <v/>
      </c>
    </row>
    <row r="332">
      <c r="A332" t="inlineStr">
        <is>
          <t>331</t>
        </is>
      </c>
      <c r="B332" t="inlineStr">
        <is>
          <t>Max Girdler</t>
        </is>
      </c>
      <c r="C332" t="inlineStr">
        <is>
          <t>Pactimo RC</t>
        </is>
      </c>
      <c r="D332" t="inlineStr">
        <is>
          <t>16</t>
        </is>
      </c>
      <c r="E332" s="2">
        <f>HYPERLINK("https://www.britishcycling.org.uk/points?person_id=42271&amp;year=2024&amp;type=national&amp;d=6","Results")</f>
        <v/>
      </c>
    </row>
    <row r="333">
      <c r="A333" t="inlineStr">
        <is>
          <t>332</t>
        </is>
      </c>
      <c r="B333" t="inlineStr">
        <is>
          <t>Samuel Nancarrow</t>
        </is>
      </c>
      <c r="C333" t="inlineStr">
        <is>
          <t>Saint Piran Delivra</t>
        </is>
      </c>
      <c r="D333" t="inlineStr">
        <is>
          <t>16</t>
        </is>
      </c>
      <c r="E333" s="2">
        <f>HYPERLINK("https://www.britishcycling.org.uk/points?person_id=1071452&amp;year=2024&amp;type=national&amp;d=6","Results")</f>
        <v/>
      </c>
    </row>
    <row r="334">
      <c r="A334" t="inlineStr">
        <is>
          <t>333</t>
        </is>
      </c>
      <c r="B334" t="inlineStr">
        <is>
          <t>Samuel Stephenson</t>
        </is>
      </c>
      <c r="C334" t="inlineStr">
        <is>
          <t>Ronde Cycling Club</t>
        </is>
      </c>
      <c r="D334" t="inlineStr">
        <is>
          <t>16</t>
        </is>
      </c>
      <c r="E334" s="2">
        <f>HYPERLINK("https://www.britishcycling.org.uk/points?person_id=1024529&amp;year=2024&amp;type=national&amp;d=6","Results")</f>
        <v/>
      </c>
    </row>
    <row r="335">
      <c r="A335" t="inlineStr">
        <is>
          <t>334</t>
        </is>
      </c>
      <c r="B335" t="inlineStr">
        <is>
          <t>Dominic Valerio</t>
        </is>
      </c>
      <c r="C335" t="inlineStr"/>
      <c r="D335" t="inlineStr">
        <is>
          <t>16</t>
        </is>
      </c>
      <c r="E335" s="2">
        <f>HYPERLINK("https://www.britishcycling.org.uk/points?person_id=1134204&amp;year=2024&amp;type=national&amp;d=6","Results")</f>
        <v/>
      </c>
    </row>
    <row r="336">
      <c r="A336" t="inlineStr">
        <is>
          <t>335</t>
        </is>
      </c>
      <c r="B336" t="inlineStr">
        <is>
          <t>Owain Williams</t>
        </is>
      </c>
      <c r="C336" t="inlineStr">
        <is>
          <t>Thame Cycles Race Team</t>
        </is>
      </c>
      <c r="D336" t="inlineStr">
        <is>
          <t>16</t>
        </is>
      </c>
      <c r="E336" s="2">
        <f>HYPERLINK("https://www.britishcycling.org.uk/points?person_id=311199&amp;year=2024&amp;type=national&amp;d=6","Results")</f>
        <v/>
      </c>
    </row>
    <row r="337">
      <c r="A337" t="inlineStr">
        <is>
          <t>336</t>
        </is>
      </c>
      <c r="B337" t="inlineStr">
        <is>
          <t>Sam Leng</t>
        </is>
      </c>
      <c r="C337" t="inlineStr">
        <is>
          <t>AIMS Cycling</t>
        </is>
      </c>
      <c r="D337" t="inlineStr">
        <is>
          <t>15</t>
        </is>
      </c>
      <c r="E337" s="2">
        <f>HYPERLINK("https://www.britishcycling.org.uk/points?person_id=248274&amp;year=2024&amp;type=national&amp;d=6","Results")</f>
        <v/>
      </c>
    </row>
    <row r="338">
      <c r="A338" t="inlineStr">
        <is>
          <t>337</t>
        </is>
      </c>
      <c r="B338" t="inlineStr">
        <is>
          <t>Jimmy Smith</t>
        </is>
      </c>
      <c r="C338" t="inlineStr">
        <is>
          <t>Army Cycling Union</t>
        </is>
      </c>
      <c r="D338" t="inlineStr">
        <is>
          <t>15</t>
        </is>
      </c>
      <c r="E338" s="2">
        <f>HYPERLINK("https://www.britishcycling.org.uk/points?person_id=246535&amp;year=2024&amp;type=national&amp;d=6","Results")</f>
        <v/>
      </c>
    </row>
    <row r="339">
      <c r="A339" t="inlineStr">
        <is>
          <t>338</t>
        </is>
      </c>
      <c r="B339" t="inlineStr">
        <is>
          <t>Daniel Burt</t>
        </is>
      </c>
      <c r="C339" t="inlineStr"/>
      <c r="D339" t="inlineStr">
        <is>
          <t>14</t>
        </is>
      </c>
      <c r="E339" s="2">
        <f>HYPERLINK("https://www.britishcycling.org.uk/points?person_id=885127&amp;year=2024&amp;type=national&amp;d=6","Results")</f>
        <v/>
      </c>
    </row>
    <row r="340">
      <c r="A340" t="inlineStr">
        <is>
          <t>339</t>
        </is>
      </c>
      <c r="B340" t="inlineStr">
        <is>
          <t>Liam Cahill</t>
        </is>
      </c>
      <c r="C340" t="inlineStr">
        <is>
          <t>Reflex Nopinz</t>
        </is>
      </c>
      <c r="D340" t="inlineStr">
        <is>
          <t>14</t>
        </is>
      </c>
      <c r="E340" s="2">
        <f>HYPERLINK("https://www.britishcycling.org.uk/points?person_id=197391&amp;year=2024&amp;type=national&amp;d=6","Results")</f>
        <v/>
      </c>
    </row>
    <row r="341">
      <c r="A341" t="inlineStr">
        <is>
          <t>340</t>
        </is>
      </c>
      <c r="B341" t="inlineStr">
        <is>
          <t>William Carter</t>
        </is>
      </c>
      <c r="C341" t="inlineStr">
        <is>
          <t>Abingdon Race Team</t>
        </is>
      </c>
      <c r="D341" t="inlineStr">
        <is>
          <t>14</t>
        </is>
      </c>
      <c r="E341" s="2">
        <f>HYPERLINK("https://www.britishcycling.org.uk/points?person_id=552212&amp;year=2024&amp;type=national&amp;d=6","Results")</f>
        <v/>
      </c>
    </row>
    <row r="342">
      <c r="A342" t="inlineStr">
        <is>
          <t>341</t>
        </is>
      </c>
      <c r="B342" t="inlineStr">
        <is>
          <t>Jack Eastman-Nye</t>
        </is>
      </c>
      <c r="C342" t="inlineStr">
        <is>
          <t>Peterborough Cycling Club</t>
        </is>
      </c>
      <c r="D342" t="inlineStr">
        <is>
          <t>14</t>
        </is>
      </c>
      <c r="E342" s="2">
        <f>HYPERLINK("https://www.britishcycling.org.uk/points?person_id=1028350&amp;year=2024&amp;type=national&amp;d=6","Results")</f>
        <v/>
      </c>
    </row>
    <row r="343">
      <c r="A343" t="inlineStr">
        <is>
          <t>342</t>
        </is>
      </c>
      <c r="B343" t="inlineStr">
        <is>
          <t>Lee Hunt</t>
        </is>
      </c>
      <c r="C343" t="inlineStr">
        <is>
          <t>Army Cycling Union</t>
        </is>
      </c>
      <c r="D343" t="inlineStr">
        <is>
          <t>14</t>
        </is>
      </c>
      <c r="E343" s="2">
        <f>HYPERLINK("https://www.britishcycling.org.uk/points?person_id=867925&amp;year=2024&amp;type=national&amp;d=6","Results")</f>
        <v/>
      </c>
    </row>
    <row r="344">
      <c r="A344" t="inlineStr">
        <is>
          <t>343</t>
        </is>
      </c>
      <c r="B344" t="inlineStr">
        <is>
          <t>Max Krasinski</t>
        </is>
      </c>
      <c r="C344" t="inlineStr">
        <is>
          <t>Apogé Charente-Maritime</t>
        </is>
      </c>
      <c r="D344" t="inlineStr">
        <is>
          <t>14</t>
        </is>
      </c>
      <c r="E344" s="2">
        <f>HYPERLINK("https://www.britishcycling.org.uk/points?person_id=105394&amp;year=2024&amp;type=national&amp;d=6","Results")</f>
        <v/>
      </c>
    </row>
    <row r="345">
      <c r="A345" t="inlineStr">
        <is>
          <t>344</t>
        </is>
      </c>
      <c r="B345" t="inlineStr">
        <is>
          <t>Jason Meaton</t>
        </is>
      </c>
      <c r="C345" t="inlineStr"/>
      <c r="D345" t="inlineStr">
        <is>
          <t>14</t>
        </is>
      </c>
      <c r="E345" s="2">
        <f>HYPERLINK("https://www.britishcycling.org.uk/points?person_id=967662&amp;year=2024&amp;type=national&amp;d=6","Results")</f>
        <v/>
      </c>
    </row>
    <row r="346">
      <c r="A346" t="inlineStr">
        <is>
          <t>345</t>
        </is>
      </c>
      <c r="B346" t="inlineStr">
        <is>
          <t>Kristian Mitchell</t>
        </is>
      </c>
      <c r="C346" t="inlineStr">
        <is>
          <t>Stowmarket &amp; District CC</t>
        </is>
      </c>
      <c r="D346" t="inlineStr">
        <is>
          <t>14</t>
        </is>
      </c>
      <c r="E346" s="2">
        <f>HYPERLINK("https://www.britishcycling.org.uk/points?person_id=172540&amp;year=2024&amp;type=national&amp;d=6","Results")</f>
        <v/>
      </c>
    </row>
    <row r="347">
      <c r="A347" t="inlineStr">
        <is>
          <t>346</t>
        </is>
      </c>
      <c r="B347" t="inlineStr">
        <is>
          <t>Reuben Oakley</t>
        </is>
      </c>
      <c r="C347" t="inlineStr">
        <is>
          <t>ROTOR Race Team</t>
        </is>
      </c>
      <c r="D347" t="inlineStr">
        <is>
          <t>14</t>
        </is>
      </c>
      <c r="E347" s="2">
        <f>HYPERLINK("https://www.britishcycling.org.uk/points?person_id=289132&amp;year=2024&amp;type=national&amp;d=6","Results")</f>
        <v/>
      </c>
    </row>
    <row r="348">
      <c r="A348" t="inlineStr">
        <is>
          <t>347</t>
        </is>
      </c>
      <c r="B348" t="inlineStr">
        <is>
          <t>Tom Speck</t>
        </is>
      </c>
      <c r="C348" t="inlineStr"/>
      <c r="D348" t="inlineStr">
        <is>
          <t>14</t>
        </is>
      </c>
      <c r="E348" s="2">
        <f>HYPERLINK("https://www.britishcycling.org.uk/points?person_id=1024051&amp;year=2024&amp;type=national&amp;d=6","Results")</f>
        <v/>
      </c>
    </row>
    <row r="349">
      <c r="A349" t="inlineStr">
        <is>
          <t>348</t>
        </is>
      </c>
      <c r="B349" t="inlineStr">
        <is>
          <t>Brandon Staker</t>
        </is>
      </c>
      <c r="C349" t="inlineStr">
        <is>
          <t>University of Bath Cycling Club</t>
        </is>
      </c>
      <c r="D349" t="inlineStr">
        <is>
          <t>14</t>
        </is>
      </c>
      <c r="E349" s="2">
        <f>HYPERLINK("https://www.britishcycling.org.uk/points?person_id=1132315&amp;year=2024&amp;type=national&amp;d=6","Results")</f>
        <v/>
      </c>
    </row>
    <row r="350">
      <c r="A350" t="inlineStr">
        <is>
          <t>349</t>
        </is>
      </c>
      <c r="B350" t="inlineStr">
        <is>
          <t>Joshua Waters</t>
        </is>
      </c>
      <c r="C350" t="inlineStr">
        <is>
          <t>Schils -  Doltcini Racing Team</t>
        </is>
      </c>
      <c r="D350" t="inlineStr">
        <is>
          <t>14</t>
        </is>
      </c>
      <c r="E350" s="2">
        <f>HYPERLINK("https://www.britishcycling.org.uk/points?person_id=27530&amp;year=2024&amp;type=national&amp;d=6","Results")</f>
        <v/>
      </c>
    </row>
    <row r="351">
      <c r="A351" t="inlineStr">
        <is>
          <t>350</t>
        </is>
      </c>
      <c r="B351" t="inlineStr">
        <is>
          <t>Fred Gill</t>
        </is>
      </c>
      <c r="C351" t="inlineStr"/>
      <c r="D351" t="inlineStr">
        <is>
          <t>13</t>
        </is>
      </c>
      <c r="E351" s="2">
        <f>HYPERLINK("https://www.britishcycling.org.uk/points?person_id=291768&amp;year=2024&amp;type=national&amp;d=6","Results")</f>
        <v/>
      </c>
    </row>
    <row r="352">
      <c r="A352" t="inlineStr">
        <is>
          <t>351</t>
        </is>
      </c>
      <c r="B352" t="inlineStr">
        <is>
          <t>Craig Tabiner</t>
        </is>
      </c>
      <c r="C352" t="inlineStr">
        <is>
          <t>Port Sunlight Wheelers</t>
        </is>
      </c>
      <c r="D352" t="inlineStr">
        <is>
          <t>13</t>
        </is>
      </c>
      <c r="E352" s="2">
        <f>HYPERLINK("https://www.britishcycling.org.uk/points?person_id=292995&amp;year=2024&amp;type=national&amp;d=6","Results")</f>
        <v/>
      </c>
    </row>
    <row r="353">
      <c r="A353" t="inlineStr">
        <is>
          <t>352</t>
        </is>
      </c>
      <c r="B353" t="inlineStr">
        <is>
          <t>Samuel Asker</t>
        </is>
      </c>
      <c r="C353" t="inlineStr">
        <is>
          <t>Richardsons Trek DAS</t>
        </is>
      </c>
      <c r="D353" t="inlineStr">
        <is>
          <t>12</t>
        </is>
      </c>
      <c r="E353" s="2">
        <f>HYPERLINK("https://www.britishcycling.org.uk/points?person_id=235250&amp;year=2024&amp;type=national&amp;d=6","Results")</f>
        <v/>
      </c>
    </row>
    <row r="354">
      <c r="A354" t="inlineStr">
        <is>
          <t>353</t>
        </is>
      </c>
      <c r="B354" t="inlineStr">
        <is>
          <t>Lewis Craven</t>
        </is>
      </c>
      <c r="C354" t="inlineStr">
        <is>
          <t>Wheelbase CabTech Castelli</t>
        </is>
      </c>
      <c r="D354" t="inlineStr">
        <is>
          <t>12</t>
        </is>
      </c>
      <c r="E354" s="2">
        <f>HYPERLINK("https://www.britishcycling.org.uk/points?person_id=79292&amp;year=2024&amp;type=national&amp;d=6","Results")</f>
        <v/>
      </c>
    </row>
    <row r="355">
      <c r="A355" t="inlineStr">
        <is>
          <t>354</t>
        </is>
      </c>
      <c r="B355" t="inlineStr">
        <is>
          <t>Peter Davies</t>
        </is>
      </c>
      <c r="C355" t="inlineStr"/>
      <c r="D355" t="inlineStr">
        <is>
          <t>12</t>
        </is>
      </c>
      <c r="E355" s="2">
        <f>HYPERLINK("https://www.britishcycling.org.uk/points?person_id=1003039&amp;year=2024&amp;type=national&amp;d=6","Results")</f>
        <v/>
      </c>
    </row>
    <row r="356">
      <c r="A356" t="inlineStr">
        <is>
          <t>355</t>
        </is>
      </c>
      <c r="B356" t="inlineStr">
        <is>
          <t>Tom Foot</t>
        </is>
      </c>
      <c r="C356" t="inlineStr">
        <is>
          <t>Pavé Racing</t>
        </is>
      </c>
      <c r="D356" t="inlineStr">
        <is>
          <t>12</t>
        </is>
      </c>
      <c r="E356" s="2">
        <f>HYPERLINK("https://www.britishcycling.org.uk/points?person_id=6206&amp;year=2024&amp;type=national&amp;d=6","Results")</f>
        <v/>
      </c>
    </row>
    <row r="357">
      <c r="A357" t="inlineStr">
        <is>
          <t>356</t>
        </is>
      </c>
      <c r="B357" t="inlineStr">
        <is>
          <t>Oscar Heslop</t>
        </is>
      </c>
      <c r="C357" t="inlineStr">
        <is>
          <t>Ride Revolution Coaching</t>
        </is>
      </c>
      <c r="D357" t="inlineStr">
        <is>
          <t>12</t>
        </is>
      </c>
      <c r="E357" s="2">
        <f>HYPERLINK("https://www.britishcycling.org.uk/points?person_id=841031&amp;year=2024&amp;type=national&amp;d=6","Results")</f>
        <v/>
      </c>
    </row>
    <row r="358">
      <c r="A358" t="inlineStr">
        <is>
          <t>357</t>
        </is>
      </c>
      <c r="B358" t="inlineStr">
        <is>
          <t>Dexter Hurlock</t>
        </is>
      </c>
      <c r="C358" t="inlineStr"/>
      <c r="D358" t="inlineStr">
        <is>
          <t>12</t>
        </is>
      </c>
      <c r="E358" s="2">
        <f>HYPERLINK("https://www.britishcycling.org.uk/points?person_id=199270&amp;year=2024&amp;type=national&amp;d=6","Results")</f>
        <v/>
      </c>
    </row>
    <row r="359">
      <c r="A359" t="inlineStr">
        <is>
          <t>358</t>
        </is>
      </c>
      <c r="B359" t="inlineStr">
        <is>
          <t>Jan Kardasz</t>
        </is>
      </c>
      <c r="C359" t="inlineStr">
        <is>
          <t>Fibrax Fenwick's Wrexham C C</t>
        </is>
      </c>
      <c r="D359" t="inlineStr">
        <is>
          <t>12</t>
        </is>
      </c>
      <c r="E359" s="2">
        <f>HYPERLINK("https://www.britishcycling.org.uk/points?person_id=176276&amp;year=2024&amp;type=national&amp;d=6","Results")</f>
        <v/>
      </c>
    </row>
    <row r="360">
      <c r="A360" t="inlineStr">
        <is>
          <t>359</t>
        </is>
      </c>
      <c r="B360" t="inlineStr">
        <is>
          <t>Arion Oates</t>
        </is>
      </c>
      <c r="C360" t="inlineStr"/>
      <c r="D360" t="inlineStr">
        <is>
          <t>12</t>
        </is>
      </c>
      <c r="E360" s="2">
        <f>HYPERLINK("https://www.britishcycling.org.uk/points?person_id=983891&amp;year=2024&amp;type=national&amp;d=6","Results")</f>
        <v/>
      </c>
    </row>
    <row r="361">
      <c r="A361" t="inlineStr">
        <is>
          <t>360</t>
        </is>
      </c>
      <c r="B361" t="inlineStr">
        <is>
          <t>Charles Page</t>
        </is>
      </c>
      <c r="C361" t="inlineStr">
        <is>
          <t>Foran CT</t>
        </is>
      </c>
      <c r="D361" t="inlineStr">
        <is>
          <t>12</t>
        </is>
      </c>
      <c r="E361" s="2">
        <f>HYPERLINK("https://www.britishcycling.org.uk/points?person_id=38092&amp;year=2024&amp;type=national&amp;d=6","Results")</f>
        <v/>
      </c>
    </row>
    <row r="362">
      <c r="A362" t="inlineStr">
        <is>
          <t>361</t>
        </is>
      </c>
      <c r="B362" t="inlineStr">
        <is>
          <t>George Pittock</t>
        </is>
      </c>
      <c r="C362" t="inlineStr">
        <is>
          <t>Thanet RC Race Team</t>
        </is>
      </c>
      <c r="D362" t="inlineStr">
        <is>
          <t>12</t>
        </is>
      </c>
      <c r="E362" s="2">
        <f>HYPERLINK("https://www.britishcycling.org.uk/points?person_id=260883&amp;year=2024&amp;type=national&amp;d=6","Results")</f>
        <v/>
      </c>
    </row>
    <row r="363">
      <c r="A363" t="inlineStr">
        <is>
          <t>362</t>
        </is>
      </c>
      <c r="B363" t="inlineStr">
        <is>
          <t>Joe Reeves</t>
        </is>
      </c>
      <c r="C363" t="inlineStr">
        <is>
          <t>Reflex Nopinz</t>
        </is>
      </c>
      <c r="D363" t="inlineStr">
        <is>
          <t>12</t>
        </is>
      </c>
      <c r="E363" s="2">
        <f>HYPERLINK("https://www.britishcycling.org.uk/points?person_id=849002&amp;year=2024&amp;type=national&amp;d=6","Results")</f>
        <v/>
      </c>
    </row>
    <row r="364">
      <c r="A364" t="inlineStr">
        <is>
          <t>363</t>
        </is>
      </c>
      <c r="B364" t="inlineStr">
        <is>
          <t>William Roberts</t>
        </is>
      </c>
      <c r="C364" t="inlineStr">
        <is>
          <t>Saint Piran</t>
        </is>
      </c>
      <c r="D364" t="inlineStr">
        <is>
          <t>12</t>
        </is>
      </c>
      <c r="E364" s="2">
        <f>HYPERLINK("https://www.britishcycling.org.uk/points?person_id=239205&amp;year=2024&amp;type=national&amp;d=6","Results")</f>
        <v/>
      </c>
    </row>
    <row r="365">
      <c r="A365" t="inlineStr">
        <is>
          <t>364</t>
        </is>
      </c>
      <c r="B365" t="inlineStr">
        <is>
          <t>Ed Silverton</t>
        </is>
      </c>
      <c r="C365" t="inlineStr">
        <is>
          <t>Velo Fixers</t>
        </is>
      </c>
      <c r="D365" t="inlineStr">
        <is>
          <t>12</t>
        </is>
      </c>
      <c r="E365" s="2">
        <f>HYPERLINK("https://www.britishcycling.org.uk/points?person_id=199448&amp;year=2024&amp;type=national&amp;d=6","Results")</f>
        <v/>
      </c>
    </row>
    <row r="366">
      <c r="A366" t="inlineStr">
        <is>
          <t>365</t>
        </is>
      </c>
      <c r="B366" t="inlineStr">
        <is>
          <t>Louis Tindell</t>
        </is>
      </c>
      <c r="C366" t="inlineStr">
        <is>
          <t>Sprockets Cycle Club</t>
        </is>
      </c>
      <c r="D366" t="inlineStr">
        <is>
          <t>12</t>
        </is>
      </c>
      <c r="E366" s="2">
        <f>HYPERLINK("https://www.britishcycling.org.uk/points?person_id=989100&amp;year=2024&amp;type=national&amp;d=6","Results")</f>
        <v/>
      </c>
    </row>
    <row r="367">
      <c r="A367" t="inlineStr">
        <is>
          <t>366</t>
        </is>
      </c>
      <c r="B367" t="inlineStr">
        <is>
          <t>John Alcock</t>
        </is>
      </c>
      <c r="C367" t="inlineStr">
        <is>
          <t>Dynamic Rides CC</t>
        </is>
      </c>
      <c r="D367" t="inlineStr">
        <is>
          <t>11</t>
        </is>
      </c>
      <c r="E367" s="2">
        <f>HYPERLINK("https://www.britishcycling.org.uk/points?person_id=1023200&amp;year=2024&amp;type=national&amp;d=6","Results")</f>
        <v/>
      </c>
    </row>
    <row r="368">
      <c r="A368" t="inlineStr">
        <is>
          <t>367</t>
        </is>
      </c>
      <c r="B368" t="inlineStr">
        <is>
          <t>Edward Corden</t>
        </is>
      </c>
      <c r="C368" t="inlineStr">
        <is>
          <t>Glossop Kinder Velo Cycling Club</t>
        </is>
      </c>
      <c r="D368" t="inlineStr">
        <is>
          <t>11</t>
        </is>
      </c>
      <c r="E368" s="2">
        <f>HYPERLINK("https://www.britishcycling.org.uk/points?person_id=837748&amp;year=2024&amp;type=national&amp;d=6","Results")</f>
        <v/>
      </c>
    </row>
    <row r="369">
      <c r="A369" t="inlineStr">
        <is>
          <t>368</t>
        </is>
      </c>
      <c r="B369" t="inlineStr">
        <is>
          <t>Matthew Foakes</t>
        </is>
      </c>
      <c r="C369" t="inlineStr">
        <is>
          <t>Hornchurch Cycle Club</t>
        </is>
      </c>
      <c r="D369" t="inlineStr">
        <is>
          <t>11</t>
        </is>
      </c>
      <c r="E369" s="2">
        <f>HYPERLINK("https://www.britishcycling.org.uk/points?person_id=643672&amp;year=2024&amp;type=national&amp;d=6","Results")</f>
        <v/>
      </c>
    </row>
    <row r="370">
      <c r="A370" t="inlineStr">
        <is>
          <t>369</t>
        </is>
      </c>
      <c r="B370" t="inlineStr">
        <is>
          <t>Matthew Franklin</t>
        </is>
      </c>
      <c r="C370" t="inlineStr">
        <is>
          <t>Bristol RC</t>
        </is>
      </c>
      <c r="D370" t="inlineStr">
        <is>
          <t>11</t>
        </is>
      </c>
      <c r="E370" s="2">
        <f>HYPERLINK("https://www.britishcycling.org.uk/points?person_id=118969&amp;year=2024&amp;type=national&amp;d=6","Results")</f>
        <v/>
      </c>
    </row>
    <row r="371">
      <c r="A371" t="inlineStr">
        <is>
          <t>370</t>
        </is>
      </c>
      <c r="B371" t="inlineStr">
        <is>
          <t>Matthew Grimshaw</t>
        </is>
      </c>
      <c r="C371" t="inlineStr">
        <is>
          <t>Albarosa Cycling Club</t>
        </is>
      </c>
      <c r="D371" t="inlineStr">
        <is>
          <t>11</t>
        </is>
      </c>
      <c r="E371" s="2">
        <f>HYPERLINK("https://www.britishcycling.org.uk/points?person_id=352657&amp;year=2024&amp;type=national&amp;d=6","Results")</f>
        <v/>
      </c>
    </row>
    <row r="372">
      <c r="A372" t="inlineStr">
        <is>
          <t>371</t>
        </is>
      </c>
      <c r="B372" t="inlineStr">
        <is>
          <t>Carwyn Hardiman</t>
        </is>
      </c>
      <c r="C372" t="inlineStr">
        <is>
          <t>The Bulls</t>
        </is>
      </c>
      <c r="D372" t="inlineStr">
        <is>
          <t>11</t>
        </is>
      </c>
      <c r="E372" s="2">
        <f>HYPERLINK("https://www.britishcycling.org.uk/points?person_id=538940&amp;year=2024&amp;type=national&amp;d=6","Results")</f>
        <v/>
      </c>
    </row>
    <row r="373">
      <c r="A373" t="inlineStr">
        <is>
          <t>372</t>
        </is>
      </c>
      <c r="B373" t="inlineStr">
        <is>
          <t>David Lines</t>
        </is>
      </c>
      <c r="C373" t="inlineStr">
        <is>
          <t>Wheelbase CabTech Castelli</t>
        </is>
      </c>
      <c r="D373" t="inlineStr">
        <is>
          <t>11</t>
        </is>
      </c>
      <c r="E373" s="2">
        <f>HYPERLINK("https://www.britishcycling.org.uk/points?person_id=27371&amp;year=2024&amp;type=national&amp;d=6","Results")</f>
        <v/>
      </c>
    </row>
    <row r="374">
      <c r="A374" t="inlineStr">
        <is>
          <t>373</t>
        </is>
      </c>
      <c r="B374" t="inlineStr">
        <is>
          <t>Marinus Petersen</t>
        </is>
      </c>
      <c r="C374" t="inlineStr">
        <is>
          <t>UC Briochine</t>
        </is>
      </c>
      <c r="D374" t="inlineStr">
        <is>
          <t>11</t>
        </is>
      </c>
      <c r="E374" s="2">
        <f>HYPERLINK("https://www.britishcycling.org.uk/points?person_id=730764&amp;year=2024&amp;type=national&amp;d=6","Results")</f>
        <v/>
      </c>
    </row>
    <row r="375">
      <c r="A375" t="inlineStr">
        <is>
          <t>374</t>
        </is>
      </c>
      <c r="B375" t="inlineStr">
        <is>
          <t>Sam Waterfield</t>
        </is>
      </c>
      <c r="C375" t="inlineStr">
        <is>
          <t>North Cheshire Clarion</t>
        </is>
      </c>
      <c r="D375" t="inlineStr">
        <is>
          <t>11</t>
        </is>
      </c>
      <c r="E375" s="2">
        <f>HYPERLINK("https://www.britishcycling.org.uk/points?person_id=1030860&amp;year=2024&amp;type=national&amp;d=6","Results")</f>
        <v/>
      </c>
    </row>
    <row r="376">
      <c r="A376" t="inlineStr">
        <is>
          <t>375</t>
        </is>
      </c>
      <c r="B376" t="inlineStr">
        <is>
          <t>Finlay Webb</t>
        </is>
      </c>
      <c r="C376" t="inlineStr">
        <is>
          <t>Exeter Wheelers</t>
        </is>
      </c>
      <c r="D376" t="inlineStr">
        <is>
          <t>11</t>
        </is>
      </c>
      <c r="E376" s="2">
        <f>HYPERLINK("https://www.britishcycling.org.uk/points?person_id=272392&amp;year=2024&amp;type=national&amp;d=6","Results")</f>
        <v/>
      </c>
    </row>
    <row r="377">
      <c r="A377" t="inlineStr">
        <is>
          <t>376</t>
        </is>
      </c>
      <c r="B377" t="inlineStr">
        <is>
          <t>Alan Wylie</t>
        </is>
      </c>
      <c r="C377" t="inlineStr">
        <is>
          <t>Amersham Road Cycling Club</t>
        </is>
      </c>
      <c r="D377" t="inlineStr">
        <is>
          <t>11</t>
        </is>
      </c>
      <c r="E377" s="2">
        <f>HYPERLINK("https://www.britishcycling.org.uk/points?person_id=263599&amp;year=2024&amp;type=national&amp;d=6","Results")</f>
        <v/>
      </c>
    </row>
    <row r="378">
      <c r="A378" t="inlineStr">
        <is>
          <t>377</t>
        </is>
      </c>
      <c r="B378" t="inlineStr">
        <is>
          <t>Felix Barker</t>
        </is>
      </c>
      <c r="C378" t="inlineStr">
        <is>
          <t>Hope Factory Racing</t>
        </is>
      </c>
      <c r="D378" t="inlineStr">
        <is>
          <t>10</t>
        </is>
      </c>
      <c r="E378" s="2">
        <f>HYPERLINK("https://www.britishcycling.org.uk/points?person_id=63128&amp;year=2024&amp;type=national&amp;d=6","Results")</f>
        <v/>
      </c>
    </row>
    <row r="379">
      <c r="A379" t="inlineStr">
        <is>
          <t>378</t>
        </is>
      </c>
      <c r="B379" t="inlineStr">
        <is>
          <t>Marc Beales</t>
        </is>
      </c>
      <c r="C379" t="inlineStr">
        <is>
          <t>Didcot Phoenix CC</t>
        </is>
      </c>
      <c r="D379" t="inlineStr">
        <is>
          <t>10</t>
        </is>
      </c>
      <c r="E379" s="2">
        <f>HYPERLINK("https://www.britishcycling.org.uk/points?person_id=982124&amp;year=2024&amp;type=national&amp;d=6","Results")</f>
        <v/>
      </c>
    </row>
    <row r="380">
      <c r="A380" t="inlineStr">
        <is>
          <t>379</t>
        </is>
      </c>
      <c r="B380" t="inlineStr">
        <is>
          <t>Peter Hawkins</t>
        </is>
      </c>
      <c r="C380" t="inlineStr">
        <is>
          <t>Muckle Cycle Club</t>
        </is>
      </c>
      <c r="D380" t="inlineStr">
        <is>
          <t>10</t>
        </is>
      </c>
      <c r="E380" s="2">
        <f>HYPERLINK("https://www.britishcycling.org.uk/points?person_id=240950&amp;year=2024&amp;type=national&amp;d=6","Results")</f>
        <v/>
      </c>
    </row>
    <row r="381">
      <c r="A381" t="inlineStr">
        <is>
          <t>380</t>
        </is>
      </c>
      <c r="B381" t="inlineStr">
        <is>
          <t>Owen Hyner</t>
        </is>
      </c>
      <c r="C381" t="inlineStr">
        <is>
          <t>Towy Riders</t>
        </is>
      </c>
      <c r="D381" t="inlineStr">
        <is>
          <t>10</t>
        </is>
      </c>
      <c r="E381" s="2">
        <f>HYPERLINK("https://www.britishcycling.org.uk/points?person_id=1013048&amp;year=2024&amp;type=national&amp;d=6","Results")</f>
        <v/>
      </c>
    </row>
    <row r="382">
      <c r="A382" t="inlineStr">
        <is>
          <t>381</t>
        </is>
      </c>
      <c r="B382" t="inlineStr">
        <is>
          <t>Oscar Martin</t>
        </is>
      </c>
      <c r="C382" t="inlineStr">
        <is>
          <t>ROTOR Race Team</t>
        </is>
      </c>
      <c r="D382" t="inlineStr">
        <is>
          <t>10</t>
        </is>
      </c>
      <c r="E382" s="2">
        <f>HYPERLINK("https://www.britishcycling.org.uk/points?person_id=386481&amp;year=2024&amp;type=national&amp;d=6","Results")</f>
        <v/>
      </c>
    </row>
    <row r="383">
      <c r="A383" t="inlineStr">
        <is>
          <t>382</t>
        </is>
      </c>
      <c r="B383" t="inlineStr">
        <is>
          <t>Jasper Raistrick</t>
        </is>
      </c>
      <c r="C383" t="inlineStr">
        <is>
          <t>Mickey Cranks CC</t>
        </is>
      </c>
      <c r="D383" t="inlineStr">
        <is>
          <t>10</t>
        </is>
      </c>
      <c r="E383" s="2">
        <f>HYPERLINK("https://www.britishcycling.org.uk/points?person_id=881933&amp;year=2024&amp;type=national&amp;d=6","Results")</f>
        <v/>
      </c>
    </row>
    <row r="384">
      <c r="A384" t="inlineStr">
        <is>
          <t>383</t>
        </is>
      </c>
      <c r="B384" t="inlineStr">
        <is>
          <t>Thomas Scott-Collins</t>
        </is>
      </c>
      <c r="C384" t="inlineStr">
        <is>
          <t>VéloElite RC</t>
        </is>
      </c>
      <c r="D384" t="inlineStr">
        <is>
          <t>10</t>
        </is>
      </c>
      <c r="E384" s="2">
        <f>HYPERLINK("https://www.britishcycling.org.uk/points?person_id=247583&amp;year=2024&amp;type=national&amp;d=6","Results")</f>
        <v/>
      </c>
    </row>
    <row r="385">
      <c r="A385" t="inlineStr">
        <is>
          <t>384</t>
        </is>
      </c>
      <c r="B385" t="inlineStr">
        <is>
          <t>Sam Talent</t>
        </is>
      </c>
      <c r="C385" t="inlineStr">
        <is>
          <t>Velo Club Venta</t>
        </is>
      </c>
      <c r="D385" t="inlineStr">
        <is>
          <t>10</t>
        </is>
      </c>
      <c r="E385" s="2">
        <f>HYPERLINK("https://www.britishcycling.org.uk/points?person_id=422866&amp;year=2024&amp;type=national&amp;d=6","Results")</f>
        <v/>
      </c>
    </row>
    <row r="386">
      <c r="A386" t="inlineStr">
        <is>
          <t>385</t>
        </is>
      </c>
      <c r="B386" t="inlineStr">
        <is>
          <t>Euan Tebbutt</t>
        </is>
      </c>
      <c r="C386" t="inlineStr">
        <is>
          <t>Cambridge CC</t>
        </is>
      </c>
      <c r="D386" t="inlineStr">
        <is>
          <t>10</t>
        </is>
      </c>
      <c r="E386" s="2">
        <f>HYPERLINK("https://www.britishcycling.org.uk/points?person_id=762634&amp;year=2024&amp;type=national&amp;d=6","Results")</f>
        <v/>
      </c>
    </row>
    <row r="387">
      <c r="A387" t="inlineStr">
        <is>
          <t>386</t>
        </is>
      </c>
      <c r="B387" t="inlineStr">
        <is>
          <t>Isaac Wright</t>
        </is>
      </c>
      <c r="C387" t="inlineStr">
        <is>
          <t>Team TMC - Strada Wheels</t>
        </is>
      </c>
      <c r="D387" t="inlineStr">
        <is>
          <t>10</t>
        </is>
      </c>
      <c r="E387" s="2">
        <f>HYPERLINK("https://www.britishcycling.org.uk/points?person_id=7248&amp;year=2024&amp;type=national&amp;d=6","Results")</f>
        <v/>
      </c>
    </row>
    <row r="388">
      <c r="A388" t="inlineStr">
        <is>
          <t>387</t>
        </is>
      </c>
      <c r="B388" t="inlineStr">
        <is>
          <t>Mark Aldred</t>
        </is>
      </c>
      <c r="C388" t="inlineStr">
        <is>
          <t>Kingston Wheelers CC</t>
        </is>
      </c>
      <c r="D388" t="inlineStr">
        <is>
          <t>9</t>
        </is>
      </c>
      <c r="E388" s="2">
        <f>HYPERLINK("https://www.britishcycling.org.uk/points?person_id=643493&amp;year=2024&amp;type=national&amp;d=6","Results")</f>
        <v/>
      </c>
    </row>
    <row r="389">
      <c r="A389" t="inlineStr">
        <is>
          <t>388</t>
        </is>
      </c>
      <c r="B389" t="inlineStr">
        <is>
          <t>Tom Andrews</t>
        </is>
      </c>
      <c r="C389" t="inlineStr">
        <is>
          <t>Team Lifting Gear Products</t>
        </is>
      </c>
      <c r="D389" t="inlineStr">
        <is>
          <t>9</t>
        </is>
      </c>
      <c r="E389" s="2">
        <f>HYPERLINK("https://www.britishcycling.org.uk/points?person_id=452234&amp;year=2024&amp;type=national&amp;d=6","Results")</f>
        <v/>
      </c>
    </row>
    <row r="390">
      <c r="A390" t="inlineStr">
        <is>
          <t>389</t>
        </is>
      </c>
      <c r="B390" t="inlineStr">
        <is>
          <t>Gareth Bates</t>
        </is>
      </c>
      <c r="C390" t="inlineStr">
        <is>
          <t>Huddersfield Star Wheelers</t>
        </is>
      </c>
      <c r="D390" t="inlineStr">
        <is>
          <t>9</t>
        </is>
      </c>
      <c r="E390" s="2">
        <f>HYPERLINK("https://www.britishcycling.org.uk/points?person_id=1131482&amp;year=2024&amp;type=national&amp;d=6","Results")</f>
        <v/>
      </c>
    </row>
    <row r="391">
      <c r="A391" t="inlineStr">
        <is>
          <t>390</t>
        </is>
      </c>
      <c r="B391" t="inlineStr">
        <is>
          <t>Thomas Bradley</t>
        </is>
      </c>
      <c r="C391" t="inlineStr">
        <is>
          <t>Team Enable MI Racing</t>
        </is>
      </c>
      <c r="D391" t="inlineStr">
        <is>
          <t>9</t>
        </is>
      </c>
      <c r="E391" s="2">
        <f>HYPERLINK("https://www.britishcycling.org.uk/points?person_id=1126089&amp;year=2024&amp;type=national&amp;d=6","Results")</f>
        <v/>
      </c>
    </row>
    <row r="392">
      <c r="A392" t="inlineStr">
        <is>
          <t>391</t>
        </is>
      </c>
      <c r="B392" t="inlineStr">
        <is>
          <t>Ben Dowson</t>
        </is>
      </c>
      <c r="C392" t="inlineStr">
        <is>
          <t>Richmond Cycling Club</t>
        </is>
      </c>
      <c r="D392" t="inlineStr">
        <is>
          <t>9</t>
        </is>
      </c>
      <c r="E392" s="2">
        <f>HYPERLINK("https://www.britishcycling.org.uk/points?person_id=36722&amp;year=2024&amp;type=national&amp;d=6","Results")</f>
        <v/>
      </c>
    </row>
    <row r="393">
      <c r="A393" t="inlineStr">
        <is>
          <t>392</t>
        </is>
      </c>
      <c r="B393" t="inlineStr">
        <is>
          <t>Alex Foley</t>
        </is>
      </c>
      <c r="C393" t="inlineStr">
        <is>
          <t>Leeds Mercury Cycling Club</t>
        </is>
      </c>
      <c r="D393" t="inlineStr">
        <is>
          <t>9</t>
        </is>
      </c>
      <c r="E393" s="2">
        <f>HYPERLINK("https://www.britishcycling.org.uk/points?person_id=222927&amp;year=2024&amp;type=national&amp;d=6","Results")</f>
        <v/>
      </c>
    </row>
    <row r="394">
      <c r="A394" t="inlineStr">
        <is>
          <t>393</t>
        </is>
      </c>
      <c r="B394" t="inlineStr">
        <is>
          <t>Mawgan Greenwood</t>
        </is>
      </c>
      <c r="C394" t="inlineStr">
        <is>
          <t>05/03</t>
        </is>
      </c>
      <c r="D394" t="inlineStr">
        <is>
          <t>9</t>
        </is>
      </c>
      <c r="E394" s="2">
        <f>HYPERLINK("https://www.britishcycling.org.uk/points?person_id=1137651&amp;year=2024&amp;type=national&amp;d=6","Results")</f>
        <v/>
      </c>
    </row>
    <row r="395">
      <c r="A395" t="inlineStr">
        <is>
          <t>394</t>
        </is>
      </c>
      <c r="B395" t="inlineStr">
        <is>
          <t>Liam Holohan</t>
        </is>
      </c>
      <c r="C395" t="inlineStr">
        <is>
          <t>Holohan Coaching Race Team</t>
        </is>
      </c>
      <c r="D395" t="inlineStr">
        <is>
          <t>9</t>
        </is>
      </c>
      <c r="E395" s="2">
        <f>HYPERLINK("https://www.britishcycling.org.uk/points?person_id=33927&amp;year=2024&amp;type=national&amp;d=6","Results")</f>
        <v/>
      </c>
    </row>
    <row r="396">
      <c r="A396" t="inlineStr">
        <is>
          <t>395</t>
        </is>
      </c>
      <c r="B396" t="inlineStr">
        <is>
          <t>Ben Keeley</t>
        </is>
      </c>
      <c r="C396" t="inlineStr">
        <is>
          <t>Velouse Flyers</t>
        </is>
      </c>
      <c r="D396" t="inlineStr">
        <is>
          <t>9</t>
        </is>
      </c>
      <c r="E396" s="2">
        <f>HYPERLINK("https://www.britishcycling.org.uk/points?person_id=227646&amp;year=2024&amp;type=national&amp;d=6","Results")</f>
        <v/>
      </c>
    </row>
    <row r="397">
      <c r="A397" t="inlineStr">
        <is>
          <t>396</t>
        </is>
      </c>
      <c r="B397" t="inlineStr">
        <is>
          <t>Innes Ogilvie</t>
        </is>
      </c>
      <c r="C397" t="inlineStr"/>
      <c r="D397" t="inlineStr">
        <is>
          <t>9</t>
        </is>
      </c>
      <c r="E397" s="2">
        <f>HYPERLINK("https://www.britishcycling.org.uk/points?person_id=898984&amp;year=2024&amp;type=national&amp;d=6","Results")</f>
        <v/>
      </c>
    </row>
    <row r="398">
      <c r="A398" t="inlineStr">
        <is>
          <t>397</t>
        </is>
      </c>
      <c r="B398" t="inlineStr">
        <is>
          <t>Sean Purser</t>
        </is>
      </c>
      <c r="C398" t="inlineStr">
        <is>
          <t>St Ives CC</t>
        </is>
      </c>
      <c r="D398" t="inlineStr">
        <is>
          <t>9</t>
        </is>
      </c>
      <c r="E398" s="2">
        <f>HYPERLINK("https://www.britishcycling.org.uk/points?person_id=424415&amp;year=2024&amp;type=national&amp;d=6","Results")</f>
        <v/>
      </c>
    </row>
    <row r="399">
      <c r="A399" t="inlineStr">
        <is>
          <t>398</t>
        </is>
      </c>
      <c r="B399" t="inlineStr">
        <is>
          <t>Harry Walshaw</t>
        </is>
      </c>
      <c r="C399" t="inlineStr">
        <is>
          <t>Team Cantidad Racing</t>
        </is>
      </c>
      <c r="D399" t="inlineStr">
        <is>
          <t>9</t>
        </is>
      </c>
      <c r="E399" s="2">
        <f>HYPERLINK("https://www.britishcycling.org.uk/points?person_id=102973&amp;year=2024&amp;type=national&amp;d=6","Results")</f>
        <v/>
      </c>
    </row>
    <row r="400">
      <c r="A400" t="inlineStr">
        <is>
          <t>399</t>
        </is>
      </c>
      <c r="B400" t="inlineStr">
        <is>
          <t>Benjamin Atkinson</t>
        </is>
      </c>
      <c r="C400" t="inlineStr">
        <is>
          <t>VC Londres</t>
        </is>
      </c>
      <c r="D400" t="inlineStr">
        <is>
          <t>8</t>
        </is>
      </c>
      <c r="E400" s="2">
        <f>HYPERLINK("https://www.britishcycling.org.uk/points?person_id=74515&amp;year=2024&amp;type=national&amp;d=6","Results")</f>
        <v/>
      </c>
    </row>
    <row r="401">
      <c r="A401" t="inlineStr">
        <is>
          <t>400</t>
        </is>
      </c>
      <c r="B401" t="inlineStr">
        <is>
          <t>Gabe Collins</t>
        </is>
      </c>
      <c r="C401" t="inlineStr">
        <is>
          <t>Norwich Racing Team</t>
        </is>
      </c>
      <c r="D401" t="inlineStr">
        <is>
          <t>8</t>
        </is>
      </c>
      <c r="E401" s="2">
        <f>HYPERLINK("https://www.britishcycling.org.uk/points?person_id=870104&amp;year=2024&amp;type=national&amp;d=6","Results")</f>
        <v/>
      </c>
    </row>
    <row r="402">
      <c r="A402" t="inlineStr">
        <is>
          <t>401</t>
        </is>
      </c>
      <c r="B402" t="inlineStr">
        <is>
          <t>Bruce Dalton</t>
        </is>
      </c>
      <c r="C402" t="inlineStr">
        <is>
          <t>Matlock CC</t>
        </is>
      </c>
      <c r="D402" t="inlineStr">
        <is>
          <t>8</t>
        </is>
      </c>
      <c r="E402" s="2">
        <f>HYPERLINK("https://www.britishcycling.org.uk/points?person_id=13258&amp;year=2024&amp;type=national&amp;d=6","Results")</f>
        <v/>
      </c>
    </row>
    <row r="403">
      <c r="A403" t="inlineStr">
        <is>
          <t>402</t>
        </is>
      </c>
      <c r="B403" t="inlineStr">
        <is>
          <t>Sebastian Egan</t>
        </is>
      </c>
      <c r="C403" t="inlineStr">
        <is>
          <t>Hillingdon Slipstreamers</t>
        </is>
      </c>
      <c r="D403" t="inlineStr">
        <is>
          <t>8</t>
        </is>
      </c>
      <c r="E403" s="2">
        <f>HYPERLINK("https://www.britishcycling.org.uk/points?person_id=223269&amp;year=2024&amp;type=national&amp;d=6","Results")</f>
        <v/>
      </c>
    </row>
    <row r="404">
      <c r="A404" t="inlineStr">
        <is>
          <t>403</t>
        </is>
      </c>
      <c r="B404" t="inlineStr">
        <is>
          <t>George Hodgkinson</t>
        </is>
      </c>
      <c r="C404" t="inlineStr">
        <is>
          <t>Chorley Cycling Club</t>
        </is>
      </c>
      <c r="D404" t="inlineStr">
        <is>
          <t>8</t>
        </is>
      </c>
      <c r="E404" s="2">
        <f>HYPERLINK("https://www.britishcycling.org.uk/points?person_id=928746&amp;year=2024&amp;type=national&amp;d=6","Results")</f>
        <v/>
      </c>
    </row>
    <row r="405">
      <c r="A405" t="inlineStr">
        <is>
          <t>404</t>
        </is>
      </c>
      <c r="B405" t="inlineStr">
        <is>
          <t>Gavin McDougall</t>
        </is>
      </c>
      <c r="C405" t="inlineStr">
        <is>
          <t>Ronde Cycling Club</t>
        </is>
      </c>
      <c r="D405" t="inlineStr">
        <is>
          <t>8</t>
        </is>
      </c>
      <c r="E405" s="2">
        <f>HYPERLINK("https://www.britishcycling.org.uk/points?person_id=62462&amp;year=2024&amp;type=national&amp;d=6","Results")</f>
        <v/>
      </c>
    </row>
    <row r="406">
      <c r="A406" t="inlineStr">
        <is>
          <t>405</t>
        </is>
      </c>
      <c r="B406" t="inlineStr">
        <is>
          <t>Josef Murmann</t>
        </is>
      </c>
      <c r="C406" t="inlineStr">
        <is>
          <t>Track Marble</t>
        </is>
      </c>
      <c r="D406" t="inlineStr">
        <is>
          <t>8</t>
        </is>
      </c>
      <c r="E406" s="2">
        <f>HYPERLINK("https://www.britishcycling.org.uk/points?person_id=1007961&amp;year=2024&amp;type=national&amp;d=6","Results")</f>
        <v/>
      </c>
    </row>
    <row r="407">
      <c r="A407" t="inlineStr">
        <is>
          <t>406</t>
        </is>
      </c>
      <c r="B407" t="inlineStr">
        <is>
          <t>Matthew Potts</t>
        </is>
      </c>
      <c r="C407" t="inlineStr">
        <is>
          <t>Cheltenham &amp; County Cycling Club</t>
        </is>
      </c>
      <c r="D407" t="inlineStr">
        <is>
          <t>8</t>
        </is>
      </c>
      <c r="E407" s="2">
        <f>HYPERLINK("https://www.britishcycling.org.uk/points?person_id=342107&amp;year=2024&amp;type=national&amp;d=6","Results")</f>
        <v/>
      </c>
    </row>
    <row r="408">
      <c r="A408" t="inlineStr">
        <is>
          <t>407</t>
        </is>
      </c>
      <c r="B408" t="inlineStr">
        <is>
          <t>Jamie Ryman-Tubb</t>
        </is>
      </c>
      <c r="C408" t="inlineStr">
        <is>
          <t>Aerologic RT</t>
        </is>
      </c>
      <c r="D408" t="inlineStr">
        <is>
          <t>8</t>
        </is>
      </c>
      <c r="E408" s="2">
        <f>HYPERLINK("https://www.britishcycling.org.uk/points?person_id=1038886&amp;year=2024&amp;type=national&amp;d=6","Results")</f>
        <v/>
      </c>
    </row>
    <row r="409">
      <c r="A409" t="inlineStr">
        <is>
          <t>408</t>
        </is>
      </c>
      <c r="B409" t="inlineStr">
        <is>
          <t>Padraig Spillane</t>
        </is>
      </c>
      <c r="C409" t="inlineStr">
        <is>
          <t>Kendal Cycle Club</t>
        </is>
      </c>
      <c r="D409" t="inlineStr">
        <is>
          <t>8</t>
        </is>
      </c>
      <c r="E409" s="2">
        <f>HYPERLINK("https://www.britishcycling.org.uk/points?person_id=1015220&amp;year=2024&amp;type=national&amp;d=6","Results")</f>
        <v/>
      </c>
    </row>
    <row r="410">
      <c r="A410" t="inlineStr">
        <is>
          <t>409</t>
        </is>
      </c>
      <c r="B410" t="inlineStr">
        <is>
          <t>Oscar Williams</t>
        </is>
      </c>
      <c r="C410" t="inlineStr">
        <is>
          <t>Albion Cycling Co</t>
        </is>
      </c>
      <c r="D410" t="inlineStr">
        <is>
          <t>8</t>
        </is>
      </c>
      <c r="E410" s="2">
        <f>HYPERLINK("https://www.britishcycling.org.uk/points?person_id=416842&amp;year=2024&amp;type=national&amp;d=6","Results")</f>
        <v/>
      </c>
    </row>
    <row r="411">
      <c r="A411" t="inlineStr">
        <is>
          <t>410</t>
        </is>
      </c>
      <c r="B411" t="inlineStr">
        <is>
          <t>James Bailey</t>
        </is>
      </c>
      <c r="C411" t="inlineStr"/>
      <c r="D411" t="inlineStr">
        <is>
          <t>7</t>
        </is>
      </c>
      <c r="E411" s="2">
        <f>HYPERLINK("https://www.britishcycling.org.uk/points?person_id=76877&amp;year=2024&amp;type=national&amp;d=6","Results")</f>
        <v/>
      </c>
    </row>
    <row r="412">
      <c r="A412" t="inlineStr">
        <is>
          <t>411</t>
        </is>
      </c>
      <c r="B412" t="inlineStr">
        <is>
          <t>Jamieson Blain</t>
        </is>
      </c>
      <c r="C412" t="inlineStr">
        <is>
          <t>Halesowen A &amp; CC</t>
        </is>
      </c>
      <c r="D412" t="inlineStr">
        <is>
          <t>7</t>
        </is>
      </c>
      <c r="E412" s="2">
        <f>HYPERLINK("https://www.britishcycling.org.uk/points?person_id=107595&amp;year=2024&amp;type=national&amp;d=6","Results")</f>
        <v/>
      </c>
    </row>
    <row r="413">
      <c r="A413" t="inlineStr">
        <is>
          <t>412</t>
        </is>
      </c>
      <c r="B413" t="inlineStr">
        <is>
          <t>Barney Butler</t>
        </is>
      </c>
      <c r="C413" t="inlineStr">
        <is>
          <t>Bristol South CC</t>
        </is>
      </c>
      <c r="D413" t="inlineStr">
        <is>
          <t>7</t>
        </is>
      </c>
      <c r="E413" s="2">
        <f>HYPERLINK("https://www.britishcycling.org.uk/points?person_id=1003149&amp;year=2024&amp;type=national&amp;d=6","Results")</f>
        <v/>
      </c>
    </row>
    <row r="414">
      <c r="A414" t="inlineStr">
        <is>
          <t>413</t>
        </is>
      </c>
      <c r="B414" t="inlineStr">
        <is>
          <t>Samuel Fitzgerald</t>
        </is>
      </c>
      <c r="C414" t="inlineStr">
        <is>
          <t>VC Jubilee</t>
        </is>
      </c>
      <c r="D414" t="inlineStr">
        <is>
          <t>7</t>
        </is>
      </c>
      <c r="E414" s="2">
        <f>HYPERLINK("https://www.britishcycling.org.uk/points?person_id=486467&amp;year=2024&amp;type=national&amp;d=6","Results")</f>
        <v/>
      </c>
    </row>
    <row r="415">
      <c r="A415" t="inlineStr">
        <is>
          <t>414</t>
        </is>
      </c>
      <c r="B415" t="inlineStr">
        <is>
          <t>Harry Johnson</t>
        </is>
      </c>
      <c r="C415" t="inlineStr">
        <is>
          <t>VC St Raphael</t>
        </is>
      </c>
      <c r="D415" t="inlineStr">
        <is>
          <t>7</t>
        </is>
      </c>
      <c r="E415" s="2">
        <f>HYPERLINK("https://www.britishcycling.org.uk/points?person_id=424160&amp;year=2024&amp;type=national&amp;d=6","Results")</f>
        <v/>
      </c>
    </row>
    <row r="416">
      <c r="A416" t="inlineStr">
        <is>
          <t>415</t>
        </is>
      </c>
      <c r="B416" t="inlineStr">
        <is>
          <t>Murdo MacGillivray</t>
        </is>
      </c>
      <c r="C416" t="inlineStr">
        <is>
          <t>University of Aberdeen</t>
        </is>
      </c>
      <c r="D416" t="inlineStr">
        <is>
          <t>7</t>
        </is>
      </c>
      <c r="E416" s="2">
        <f>HYPERLINK("https://www.britishcycling.org.uk/points?person_id=1042156&amp;year=2024&amp;type=national&amp;d=6","Results")</f>
        <v/>
      </c>
    </row>
    <row r="417">
      <c r="A417" t="inlineStr">
        <is>
          <t>416</t>
        </is>
      </c>
      <c r="B417" t="inlineStr">
        <is>
          <t>Rory Munn</t>
        </is>
      </c>
      <c r="C417" t="inlineStr">
        <is>
          <t>Ziggurat Racing</t>
        </is>
      </c>
      <c r="D417" t="inlineStr">
        <is>
          <t>7</t>
        </is>
      </c>
      <c r="E417" s="2">
        <f>HYPERLINK("https://www.britishcycling.org.uk/points?person_id=353126&amp;year=2024&amp;type=national&amp;d=6","Results")</f>
        <v/>
      </c>
    </row>
    <row r="418">
      <c r="A418" t="inlineStr">
        <is>
          <t>417</t>
        </is>
      </c>
      <c r="B418" t="inlineStr">
        <is>
          <t>Tom Peirson-Smith</t>
        </is>
      </c>
      <c r="C418" t="inlineStr">
        <is>
          <t>Abingdon Race Team</t>
        </is>
      </c>
      <c r="D418" t="inlineStr">
        <is>
          <t>7</t>
        </is>
      </c>
      <c r="E418" s="2">
        <f>HYPERLINK("https://www.britishcycling.org.uk/points?person_id=604193&amp;year=2024&amp;type=national&amp;d=6","Results")</f>
        <v/>
      </c>
    </row>
    <row r="419">
      <c r="A419" t="inlineStr">
        <is>
          <t>418</t>
        </is>
      </c>
      <c r="B419" t="inlineStr">
        <is>
          <t>Thomas Russell</t>
        </is>
      </c>
      <c r="C419" t="inlineStr">
        <is>
          <t>Verulam CC</t>
        </is>
      </c>
      <c r="D419" t="inlineStr">
        <is>
          <t>7</t>
        </is>
      </c>
      <c r="E419" s="2">
        <f>HYPERLINK("https://www.britishcycling.org.uk/points?person_id=654845&amp;year=2024&amp;type=national&amp;d=6","Results")</f>
        <v/>
      </c>
    </row>
    <row r="420">
      <c r="A420" t="inlineStr">
        <is>
          <t>419</t>
        </is>
      </c>
      <c r="B420" t="inlineStr">
        <is>
          <t>Euan Adams</t>
        </is>
      </c>
      <c r="C420" t="inlineStr">
        <is>
          <t>7 Hills Cycling Club</t>
        </is>
      </c>
      <c r="D420" t="inlineStr">
        <is>
          <t>6</t>
        </is>
      </c>
      <c r="E420" s="2">
        <f>HYPERLINK("https://www.britishcycling.org.uk/points?person_id=50343&amp;year=2024&amp;type=national&amp;d=6","Results")</f>
        <v/>
      </c>
    </row>
    <row r="421">
      <c r="A421" t="inlineStr">
        <is>
          <t>420</t>
        </is>
      </c>
      <c r="B421" t="inlineStr">
        <is>
          <t>Sam Barbour</t>
        </is>
      </c>
      <c r="C421" t="inlineStr">
        <is>
          <t>Ribble rechrg Race Team</t>
        </is>
      </c>
      <c r="D421" t="inlineStr">
        <is>
          <t>6</t>
        </is>
      </c>
      <c r="E421" s="2">
        <f>HYPERLINK("https://www.britishcycling.org.uk/points?person_id=525069&amp;year=2024&amp;type=national&amp;d=6","Results")</f>
        <v/>
      </c>
    </row>
    <row r="422">
      <c r="A422" t="inlineStr">
        <is>
          <t>421</t>
        </is>
      </c>
      <c r="B422" t="inlineStr">
        <is>
          <t>Adam Brooks</t>
        </is>
      </c>
      <c r="C422" t="inlineStr">
        <is>
          <t>Manilla Cycling</t>
        </is>
      </c>
      <c r="D422" t="inlineStr">
        <is>
          <t>6</t>
        </is>
      </c>
      <c r="E422" s="2">
        <f>HYPERLINK("https://www.britishcycling.org.uk/points?person_id=104848&amp;year=2024&amp;type=national&amp;d=6","Results")</f>
        <v/>
      </c>
    </row>
    <row r="423">
      <c r="A423" t="inlineStr">
        <is>
          <t>422</t>
        </is>
      </c>
      <c r="B423" t="inlineStr">
        <is>
          <t>Warren Eve</t>
        </is>
      </c>
      <c r="C423" t="inlineStr">
        <is>
          <t>Velouse Flyers</t>
        </is>
      </c>
      <c r="D423" t="inlineStr">
        <is>
          <t>6</t>
        </is>
      </c>
      <c r="E423" s="2">
        <f>HYPERLINK("https://www.britishcycling.org.uk/points?person_id=1127000&amp;year=2024&amp;type=national&amp;d=6","Results")</f>
        <v/>
      </c>
    </row>
    <row r="424">
      <c r="A424" t="inlineStr">
        <is>
          <t>423</t>
        </is>
      </c>
      <c r="B424" t="inlineStr">
        <is>
          <t>Flynn Gregory</t>
        </is>
      </c>
      <c r="C424" t="inlineStr">
        <is>
          <t>Wheelbase CabTech Castelli</t>
        </is>
      </c>
      <c r="D424" t="inlineStr">
        <is>
          <t>6</t>
        </is>
      </c>
      <c r="E424" s="2">
        <f>HYPERLINK("https://www.britishcycling.org.uk/points?person_id=444211&amp;year=2024&amp;type=national&amp;d=6","Results")</f>
        <v/>
      </c>
    </row>
    <row r="425">
      <c r="A425" t="inlineStr">
        <is>
          <t>424</t>
        </is>
      </c>
      <c r="B425" t="inlineStr">
        <is>
          <t>Luke Manning</t>
        </is>
      </c>
      <c r="C425" t="inlineStr">
        <is>
          <t>Maglia Rosso</t>
        </is>
      </c>
      <c r="D425" t="inlineStr">
        <is>
          <t>6</t>
        </is>
      </c>
      <c r="E425" s="2">
        <f>HYPERLINK("https://www.britishcycling.org.uk/points?person_id=688735&amp;year=2024&amp;type=national&amp;d=6","Results")</f>
        <v/>
      </c>
    </row>
    <row r="426">
      <c r="A426" t="inlineStr">
        <is>
          <t>425</t>
        </is>
      </c>
      <c r="B426" t="inlineStr">
        <is>
          <t>Jordan Peacock</t>
        </is>
      </c>
      <c r="C426" t="inlineStr">
        <is>
          <t>Ride Revolution Coaching</t>
        </is>
      </c>
      <c r="D426" t="inlineStr">
        <is>
          <t>6</t>
        </is>
      </c>
      <c r="E426" s="2">
        <f>HYPERLINK("https://www.britishcycling.org.uk/points?person_id=42482&amp;year=2024&amp;type=national&amp;d=6","Results")</f>
        <v/>
      </c>
    </row>
    <row r="427">
      <c r="A427" t="inlineStr">
        <is>
          <t>426</t>
        </is>
      </c>
      <c r="B427" t="inlineStr">
        <is>
          <t>Jack Rubini</t>
        </is>
      </c>
      <c r="C427" t="inlineStr"/>
      <c r="D427" t="inlineStr">
        <is>
          <t>6</t>
        </is>
      </c>
      <c r="E427" s="2">
        <f>HYPERLINK("https://www.britishcycling.org.uk/points?person_id=1004998&amp;year=2024&amp;type=national&amp;d=6","Results")</f>
        <v/>
      </c>
    </row>
    <row r="428">
      <c r="A428" t="inlineStr">
        <is>
          <t>427</t>
        </is>
      </c>
      <c r="B428" t="inlineStr">
        <is>
          <t>Tom Seaman</t>
        </is>
      </c>
      <c r="C428" t="inlineStr"/>
      <c r="D428" t="inlineStr">
        <is>
          <t>6</t>
        </is>
      </c>
      <c r="E428" s="2">
        <f>HYPERLINK("https://www.britishcycling.org.uk/points?person_id=206841&amp;year=2024&amp;type=national&amp;d=6","Results")</f>
        <v/>
      </c>
    </row>
    <row r="429">
      <c r="A429" t="inlineStr">
        <is>
          <t>428</t>
        </is>
      </c>
      <c r="B429" t="inlineStr">
        <is>
          <t>Samuel Watson</t>
        </is>
      </c>
      <c r="C429" t="inlineStr">
        <is>
          <t>GROUPAMA - FDJ</t>
        </is>
      </c>
      <c r="D429" t="inlineStr">
        <is>
          <t>6</t>
        </is>
      </c>
      <c r="E429" s="2">
        <f>HYPERLINK("https://www.britishcycling.org.uk/points?person_id=119350&amp;year=2024&amp;type=national&amp;d=6","Results")</f>
        <v/>
      </c>
    </row>
    <row r="430">
      <c r="A430" t="inlineStr">
        <is>
          <t>429</t>
        </is>
      </c>
      <c r="B430" t="inlineStr">
        <is>
          <t>Harry Wilson</t>
        </is>
      </c>
      <c r="C430" t="inlineStr">
        <is>
          <t>Holmes Chapel Velo</t>
        </is>
      </c>
      <c r="D430" t="inlineStr">
        <is>
          <t>6</t>
        </is>
      </c>
      <c r="E430" s="2">
        <f>HYPERLINK("https://www.britishcycling.org.uk/points?person_id=552324&amp;year=2024&amp;type=national&amp;d=6","Results")</f>
        <v/>
      </c>
    </row>
    <row r="431">
      <c r="A431" t="inlineStr">
        <is>
          <t>430</t>
        </is>
      </c>
      <c r="B431" t="inlineStr">
        <is>
          <t>Oliver Bradley</t>
        </is>
      </c>
      <c r="C431" t="inlineStr">
        <is>
          <t>Ilkeston Cycle Club</t>
        </is>
      </c>
      <c r="D431" t="inlineStr">
        <is>
          <t>5</t>
        </is>
      </c>
      <c r="E431" s="2">
        <f>HYPERLINK("https://www.britishcycling.org.uk/points?person_id=231295&amp;year=2024&amp;type=national&amp;d=6","Results")</f>
        <v/>
      </c>
    </row>
    <row r="432">
      <c r="A432" t="inlineStr">
        <is>
          <t>431</t>
        </is>
      </c>
      <c r="B432" t="inlineStr">
        <is>
          <t>Ian Braybrook</t>
        </is>
      </c>
      <c r="C432" t="inlineStr">
        <is>
          <t>Basildon CC</t>
        </is>
      </c>
      <c r="D432" t="inlineStr">
        <is>
          <t>5</t>
        </is>
      </c>
      <c r="E432" s="2">
        <f>HYPERLINK("https://www.britishcycling.org.uk/points?person_id=309465&amp;year=2024&amp;type=national&amp;d=6","Results")</f>
        <v/>
      </c>
    </row>
    <row r="433">
      <c r="A433" t="inlineStr">
        <is>
          <t>432</t>
        </is>
      </c>
      <c r="B433" t="inlineStr">
        <is>
          <t>Beranger Fric</t>
        </is>
      </c>
      <c r="C433" t="inlineStr">
        <is>
          <t>Dulwich Paragon CC</t>
        </is>
      </c>
      <c r="D433" t="inlineStr">
        <is>
          <t>5</t>
        </is>
      </c>
      <c r="E433" s="2">
        <f>HYPERLINK("https://www.britishcycling.org.uk/points?person_id=770911&amp;year=2024&amp;type=national&amp;d=6","Results")</f>
        <v/>
      </c>
    </row>
    <row r="434">
      <c r="A434" t="inlineStr">
        <is>
          <t>433</t>
        </is>
      </c>
      <c r="B434" t="inlineStr">
        <is>
          <t>Ryan Gay</t>
        </is>
      </c>
      <c r="C434" t="inlineStr">
        <is>
          <t>Velo Club Beverley</t>
        </is>
      </c>
      <c r="D434" t="inlineStr">
        <is>
          <t>5</t>
        </is>
      </c>
      <c r="E434" s="2">
        <f>HYPERLINK("https://www.britishcycling.org.uk/points?person_id=948348&amp;year=2024&amp;type=national&amp;d=6","Results")</f>
        <v/>
      </c>
    </row>
    <row r="435">
      <c r="A435" t="inlineStr">
        <is>
          <t>434</t>
        </is>
      </c>
      <c r="B435" t="inlineStr">
        <is>
          <t>Niall Guite</t>
        </is>
      </c>
      <c r="C435" t="inlineStr">
        <is>
          <t>Sheffield Youth Cycling Club</t>
        </is>
      </c>
      <c r="D435" t="inlineStr">
        <is>
          <t>5</t>
        </is>
      </c>
      <c r="E435" s="2">
        <f>HYPERLINK("https://www.britishcycling.org.uk/points?person_id=1025889&amp;year=2024&amp;type=national&amp;d=6","Results")</f>
        <v/>
      </c>
    </row>
    <row r="436">
      <c r="A436" t="inlineStr">
        <is>
          <t>435</t>
        </is>
      </c>
      <c r="B436" t="inlineStr">
        <is>
          <t>Jacob Kench</t>
        </is>
      </c>
      <c r="C436" t="inlineStr">
        <is>
          <t>G!RO Cycles</t>
        </is>
      </c>
      <c r="D436" t="inlineStr">
        <is>
          <t>5</t>
        </is>
      </c>
      <c r="E436" s="2">
        <f>HYPERLINK("https://www.britishcycling.org.uk/points?person_id=521814&amp;year=2024&amp;type=national&amp;d=6","Results")</f>
        <v/>
      </c>
    </row>
    <row r="437">
      <c r="A437" t="inlineStr">
        <is>
          <t>436</t>
        </is>
      </c>
      <c r="B437" t="inlineStr">
        <is>
          <t>James Leach</t>
        </is>
      </c>
      <c r="C437" t="inlineStr">
        <is>
          <t>Brixton Cycles Club</t>
        </is>
      </c>
      <c r="D437" t="inlineStr">
        <is>
          <t>5</t>
        </is>
      </c>
      <c r="E437" s="2">
        <f>HYPERLINK("https://www.britishcycling.org.uk/points?person_id=12644&amp;year=2024&amp;type=national&amp;d=6","Results")</f>
        <v/>
      </c>
    </row>
    <row r="438">
      <c r="A438" t="inlineStr">
        <is>
          <t>437</t>
        </is>
      </c>
      <c r="B438" t="inlineStr">
        <is>
          <t>William Lezard</t>
        </is>
      </c>
      <c r="C438" t="inlineStr">
        <is>
          <t>Magspeed Racing</t>
        </is>
      </c>
      <c r="D438" t="inlineStr">
        <is>
          <t>5</t>
        </is>
      </c>
      <c r="E438" s="2">
        <f>HYPERLINK("https://www.britishcycling.org.uk/points?person_id=729665&amp;year=2024&amp;type=national&amp;d=6","Results")</f>
        <v/>
      </c>
    </row>
    <row r="439">
      <c r="A439" t="inlineStr">
        <is>
          <t>438</t>
        </is>
      </c>
      <c r="B439" t="inlineStr">
        <is>
          <t>Joseph Matthews</t>
        </is>
      </c>
      <c r="C439" t="inlineStr">
        <is>
          <t>Peterborough Cycling Club</t>
        </is>
      </c>
      <c r="D439" t="inlineStr">
        <is>
          <t>5</t>
        </is>
      </c>
      <c r="E439" s="2">
        <f>HYPERLINK("https://www.britishcycling.org.uk/points?person_id=765570&amp;year=2024&amp;type=national&amp;d=6","Results")</f>
        <v/>
      </c>
    </row>
    <row r="440">
      <c r="A440" t="inlineStr">
        <is>
          <t>439</t>
        </is>
      </c>
      <c r="B440" t="inlineStr">
        <is>
          <t>Nick Murray</t>
        </is>
      </c>
      <c r="C440" t="inlineStr">
        <is>
          <t>Wolf Cycles</t>
        </is>
      </c>
      <c r="D440" t="inlineStr">
        <is>
          <t>5</t>
        </is>
      </c>
      <c r="E440" s="2">
        <f>HYPERLINK("https://www.britishcycling.org.uk/points?person_id=431302&amp;year=2024&amp;type=national&amp;d=6","Results")</f>
        <v/>
      </c>
    </row>
    <row r="441">
      <c r="A441" t="inlineStr">
        <is>
          <t>440</t>
        </is>
      </c>
      <c r="B441" t="inlineStr">
        <is>
          <t>Leigh Richards</t>
        </is>
      </c>
      <c r="C441" t="inlineStr">
        <is>
          <t>Islington Cycling Club</t>
        </is>
      </c>
      <c r="D441" t="inlineStr">
        <is>
          <t>5</t>
        </is>
      </c>
      <c r="E441" s="2">
        <f>HYPERLINK("https://www.britishcycling.org.uk/points?person_id=565791&amp;year=2024&amp;type=national&amp;d=6","Results")</f>
        <v/>
      </c>
    </row>
    <row r="442">
      <c r="A442" t="inlineStr">
        <is>
          <t>441</t>
        </is>
      </c>
      <c r="B442" t="inlineStr">
        <is>
          <t>Felix Young</t>
        </is>
      </c>
      <c r="C442" t="inlineStr">
        <is>
          <t>Avid Sport</t>
        </is>
      </c>
      <c r="D442" t="inlineStr">
        <is>
          <t>5</t>
        </is>
      </c>
      <c r="E442" s="2">
        <f>HYPERLINK("https://www.britishcycling.org.uk/points?person_id=125866&amp;year=2024&amp;type=national&amp;d=6","Results")</f>
        <v/>
      </c>
    </row>
    <row r="443">
      <c r="A443" t="inlineStr">
        <is>
          <t>442</t>
        </is>
      </c>
      <c r="B443" t="inlineStr">
        <is>
          <t>Matthew Birch</t>
        </is>
      </c>
      <c r="C443" t="inlineStr">
        <is>
          <t>Cliff Pratt Cycles</t>
        </is>
      </c>
      <c r="D443" t="inlineStr">
        <is>
          <t>4</t>
        </is>
      </c>
      <c r="E443" s="2">
        <f>HYPERLINK("https://www.britishcycling.org.uk/points?person_id=847935&amp;year=2024&amp;type=national&amp;d=6","Results")</f>
        <v/>
      </c>
    </row>
    <row r="444">
      <c r="A444" t="inlineStr">
        <is>
          <t>443</t>
        </is>
      </c>
      <c r="B444" t="inlineStr">
        <is>
          <t>Michael Burke</t>
        </is>
      </c>
      <c r="C444" t="inlineStr">
        <is>
          <t>Glasgow Ivy CC</t>
        </is>
      </c>
      <c r="D444" t="inlineStr">
        <is>
          <t>4</t>
        </is>
      </c>
      <c r="E444" s="2">
        <f>HYPERLINK("https://www.britishcycling.org.uk/points?person_id=316531&amp;year=2024&amp;type=national&amp;d=6","Results")</f>
        <v/>
      </c>
    </row>
    <row r="445">
      <c r="A445" t="inlineStr">
        <is>
          <t>444</t>
        </is>
      </c>
      <c r="B445" t="inlineStr">
        <is>
          <t>Callum Dale</t>
        </is>
      </c>
      <c r="C445" t="inlineStr">
        <is>
          <t>City RC (Hull)</t>
        </is>
      </c>
      <c r="D445" t="inlineStr">
        <is>
          <t>4</t>
        </is>
      </c>
      <c r="E445" s="2">
        <f>HYPERLINK("https://www.britishcycling.org.uk/points?person_id=548057&amp;year=2024&amp;type=national&amp;d=6","Results")</f>
        <v/>
      </c>
    </row>
    <row r="446">
      <c r="A446" t="inlineStr">
        <is>
          <t>445</t>
        </is>
      </c>
      <c r="B446" t="inlineStr">
        <is>
          <t>Michael Edwards</t>
        </is>
      </c>
      <c r="C446" t="inlineStr">
        <is>
          <t>Pontypool RCC</t>
        </is>
      </c>
      <c r="D446" t="inlineStr">
        <is>
          <t>4</t>
        </is>
      </c>
      <c r="E446" s="2">
        <f>HYPERLINK("https://www.britishcycling.org.uk/points?person_id=1050079&amp;year=2024&amp;type=national&amp;d=6","Results")</f>
        <v/>
      </c>
    </row>
    <row r="447">
      <c r="A447" t="inlineStr">
        <is>
          <t>446</t>
        </is>
      </c>
      <c r="B447" t="inlineStr">
        <is>
          <t>Marc Elker</t>
        </is>
      </c>
      <c r="C447" t="inlineStr">
        <is>
          <t>Brixton Cycles Club</t>
        </is>
      </c>
      <c r="D447" t="inlineStr">
        <is>
          <t>4</t>
        </is>
      </c>
      <c r="E447" s="2">
        <f>HYPERLINK("https://www.britishcycling.org.uk/points?person_id=1016619&amp;year=2024&amp;type=national&amp;d=6","Results")</f>
        <v/>
      </c>
    </row>
    <row r="448">
      <c r="A448" t="inlineStr">
        <is>
          <t>447</t>
        </is>
      </c>
      <c r="B448" t="inlineStr">
        <is>
          <t>Steven Hadcroft</t>
        </is>
      </c>
      <c r="C448" t="inlineStr"/>
      <c r="D448" t="inlineStr">
        <is>
          <t>4</t>
        </is>
      </c>
      <c r="E448" s="2">
        <f>HYPERLINK("https://www.britishcycling.org.uk/points?person_id=1058551&amp;year=2024&amp;type=national&amp;d=6","Results")</f>
        <v/>
      </c>
    </row>
    <row r="449">
      <c r="A449" t="inlineStr">
        <is>
          <t>448</t>
        </is>
      </c>
      <c r="B449" t="inlineStr">
        <is>
          <t>John Hale</t>
        </is>
      </c>
      <c r="C449" t="inlineStr">
        <is>
          <t>Cowley Road Condors</t>
        </is>
      </c>
      <c r="D449" t="inlineStr">
        <is>
          <t>4</t>
        </is>
      </c>
      <c r="E449" s="2">
        <f>HYPERLINK("https://www.britishcycling.org.uk/points?person_id=487023&amp;year=2024&amp;type=national&amp;d=6","Results")</f>
        <v/>
      </c>
    </row>
    <row r="450">
      <c r="A450" t="inlineStr">
        <is>
          <t>449</t>
        </is>
      </c>
      <c r="B450" t="inlineStr">
        <is>
          <t>Harry Horsman</t>
        </is>
      </c>
      <c r="C450" t="inlineStr"/>
      <c r="D450" t="inlineStr">
        <is>
          <t>4</t>
        </is>
      </c>
      <c r="E450" s="2">
        <f>HYPERLINK("https://www.britishcycling.org.uk/points?person_id=206564&amp;year=2024&amp;type=national&amp;d=6","Results")</f>
        <v/>
      </c>
    </row>
    <row r="451">
      <c r="A451" t="inlineStr">
        <is>
          <t>450</t>
        </is>
      </c>
      <c r="B451" t="inlineStr">
        <is>
          <t>Colm Kuan</t>
        </is>
      </c>
      <c r="C451" t="inlineStr">
        <is>
          <t>Liverpool Century RC</t>
        </is>
      </c>
      <c r="D451" t="inlineStr">
        <is>
          <t>4</t>
        </is>
      </c>
      <c r="E451" s="2">
        <f>HYPERLINK("https://www.britishcycling.org.uk/points?person_id=965384&amp;year=2024&amp;type=national&amp;d=6","Results")</f>
        <v/>
      </c>
    </row>
    <row r="452">
      <c r="A452" t="inlineStr">
        <is>
          <t>451</t>
        </is>
      </c>
      <c r="B452" t="inlineStr">
        <is>
          <t>Morgan Lloyd</t>
        </is>
      </c>
      <c r="C452" t="inlineStr">
        <is>
          <t>05/03</t>
        </is>
      </c>
      <c r="D452" t="inlineStr">
        <is>
          <t>4</t>
        </is>
      </c>
      <c r="E452" s="2">
        <f>HYPERLINK("https://www.britishcycling.org.uk/points?person_id=197061&amp;year=2024&amp;type=national&amp;d=6","Results")</f>
        <v/>
      </c>
    </row>
    <row r="453">
      <c r="A453" t="inlineStr">
        <is>
          <t>452</t>
        </is>
      </c>
      <c r="B453" t="inlineStr">
        <is>
          <t>Ahmad Mouftah</t>
        </is>
      </c>
      <c r="C453" t="inlineStr">
        <is>
          <t>Droitwich Cycling Club</t>
        </is>
      </c>
      <c r="D453" t="inlineStr">
        <is>
          <t>4</t>
        </is>
      </c>
      <c r="E453" s="2">
        <f>HYPERLINK("https://www.britishcycling.org.uk/points?person_id=1094039&amp;year=2024&amp;type=national&amp;d=6","Results")</f>
        <v/>
      </c>
    </row>
    <row r="454">
      <c r="A454" t="inlineStr">
        <is>
          <t>453</t>
        </is>
      </c>
      <c r="B454" t="inlineStr">
        <is>
          <t>Charlie Neece</t>
        </is>
      </c>
      <c r="C454" t="inlineStr">
        <is>
          <t>Nottingham Clarion CC</t>
        </is>
      </c>
      <c r="D454" t="inlineStr">
        <is>
          <t>4</t>
        </is>
      </c>
      <c r="E454" s="2">
        <f>HYPERLINK("https://www.britishcycling.org.uk/points?person_id=445581&amp;year=2024&amp;type=national&amp;d=6","Results")</f>
        <v/>
      </c>
    </row>
    <row r="455">
      <c r="A455" t="inlineStr">
        <is>
          <t>454</t>
        </is>
      </c>
      <c r="B455" t="inlineStr">
        <is>
          <t>Gethin Price</t>
        </is>
      </c>
      <c r="C455" t="inlineStr">
        <is>
          <t>University of Bath Cycling Club</t>
        </is>
      </c>
      <c r="D455" t="inlineStr">
        <is>
          <t>4</t>
        </is>
      </c>
      <c r="E455" s="2">
        <f>HYPERLINK("https://www.britishcycling.org.uk/points?person_id=134893&amp;year=2024&amp;type=national&amp;d=6","Results")</f>
        <v/>
      </c>
    </row>
    <row r="456">
      <c r="A456" t="inlineStr">
        <is>
          <t>455</t>
        </is>
      </c>
      <c r="B456" t="inlineStr">
        <is>
          <t>Aidan Webster</t>
        </is>
      </c>
      <c r="C456" t="inlineStr"/>
      <c r="D456" t="inlineStr">
        <is>
          <t>4</t>
        </is>
      </c>
      <c r="E456" s="2">
        <f>HYPERLINK("https://www.britishcycling.org.uk/points?person_id=823368&amp;year=2024&amp;type=national&amp;d=6","Results")</f>
        <v/>
      </c>
    </row>
    <row r="457">
      <c r="A457" t="inlineStr">
        <is>
          <t>456</t>
        </is>
      </c>
      <c r="B457" t="inlineStr">
        <is>
          <t>Joseph Allen</t>
        </is>
      </c>
      <c r="C457" t="inlineStr">
        <is>
          <t>Liverpool Century RC</t>
        </is>
      </c>
      <c r="D457" t="inlineStr">
        <is>
          <t>3</t>
        </is>
      </c>
      <c r="E457" s="2">
        <f>HYPERLINK("https://www.britishcycling.org.uk/points?person_id=30864&amp;year=2024&amp;type=national&amp;d=6","Results")</f>
        <v/>
      </c>
    </row>
    <row r="458">
      <c r="A458" t="inlineStr">
        <is>
          <t>457</t>
        </is>
      </c>
      <c r="B458" t="inlineStr">
        <is>
          <t>Rupert Baker</t>
        </is>
      </c>
      <c r="C458" t="inlineStr">
        <is>
          <t>Mono CC</t>
        </is>
      </c>
      <c r="D458" t="inlineStr">
        <is>
          <t>3</t>
        </is>
      </c>
      <c r="E458" s="2">
        <f>HYPERLINK("https://www.britishcycling.org.uk/points?person_id=287191&amp;year=2024&amp;type=national&amp;d=6","Results")</f>
        <v/>
      </c>
    </row>
    <row r="459">
      <c r="A459" t="inlineStr">
        <is>
          <t>458</t>
        </is>
      </c>
      <c r="B459" t="inlineStr">
        <is>
          <t>William Blunt</t>
        </is>
      </c>
      <c r="C459" t="inlineStr">
        <is>
          <t>Army Cycling Union</t>
        </is>
      </c>
      <c r="D459" t="inlineStr">
        <is>
          <t>3</t>
        </is>
      </c>
      <c r="E459" s="2">
        <f>HYPERLINK("https://www.britishcycling.org.uk/points?person_id=276110&amp;year=2024&amp;type=national&amp;d=6","Results")</f>
        <v/>
      </c>
    </row>
    <row r="460">
      <c r="A460" t="inlineStr">
        <is>
          <t>459</t>
        </is>
      </c>
      <c r="B460" t="inlineStr">
        <is>
          <t>Guy Drabble</t>
        </is>
      </c>
      <c r="C460" t="inlineStr"/>
      <c r="D460" t="inlineStr">
        <is>
          <t>3</t>
        </is>
      </c>
      <c r="E460" s="2">
        <f>HYPERLINK("https://www.britishcycling.org.uk/points?person_id=270061&amp;year=2024&amp;type=national&amp;d=6","Results")</f>
        <v/>
      </c>
    </row>
    <row r="461">
      <c r="A461" t="inlineStr">
        <is>
          <t>460</t>
        </is>
      </c>
      <c r="B461" t="inlineStr">
        <is>
          <t>Matthew Exley</t>
        </is>
      </c>
      <c r="C461" t="inlineStr">
        <is>
          <t>Ziggurat Racing</t>
        </is>
      </c>
      <c r="D461" t="inlineStr">
        <is>
          <t>3</t>
        </is>
      </c>
      <c r="E461" s="2">
        <f>HYPERLINK("https://www.britishcycling.org.uk/points?person_id=191939&amp;year=2024&amp;type=national&amp;d=6","Results")</f>
        <v/>
      </c>
    </row>
    <row r="462">
      <c r="A462" t="inlineStr">
        <is>
          <t>461</t>
        </is>
      </c>
      <c r="B462" t="inlineStr">
        <is>
          <t>Christopher Jackson</t>
        </is>
      </c>
      <c r="C462" t="inlineStr"/>
      <c r="D462" t="inlineStr">
        <is>
          <t>3</t>
        </is>
      </c>
      <c r="E462" s="2">
        <f>HYPERLINK("https://www.britishcycling.org.uk/points?person_id=566079&amp;year=2024&amp;type=national&amp;d=6","Results")</f>
        <v/>
      </c>
    </row>
    <row r="463">
      <c r="A463" t="inlineStr">
        <is>
          <t>462</t>
        </is>
      </c>
      <c r="B463" t="inlineStr">
        <is>
          <t>George Kirkin</t>
        </is>
      </c>
      <c r="C463" t="inlineStr">
        <is>
          <t>Imperial Racing Team</t>
        </is>
      </c>
      <c r="D463" t="inlineStr">
        <is>
          <t>3</t>
        </is>
      </c>
      <c r="E463" s="2">
        <f>HYPERLINK("https://www.britishcycling.org.uk/points?person_id=105469&amp;year=2024&amp;type=national&amp;d=6","Results")</f>
        <v/>
      </c>
    </row>
    <row r="464">
      <c r="A464" t="inlineStr">
        <is>
          <t>463</t>
        </is>
      </c>
      <c r="B464" t="inlineStr">
        <is>
          <t>Rory Nolan</t>
        </is>
      </c>
      <c r="C464" t="inlineStr">
        <is>
          <t>Uno-X Mobility</t>
        </is>
      </c>
      <c r="D464" t="inlineStr">
        <is>
          <t>3</t>
        </is>
      </c>
      <c r="E464" s="2">
        <f>HYPERLINK("https://www.britishcycling.org.uk/points?person_id=77058&amp;year=2024&amp;type=national&amp;d=6","Results")</f>
        <v/>
      </c>
    </row>
    <row r="465">
      <c r="A465" t="inlineStr">
        <is>
          <t>464</t>
        </is>
      </c>
      <c r="B465" t="inlineStr">
        <is>
          <t>Rob Shipley</t>
        </is>
      </c>
      <c r="C465" t="inlineStr">
        <is>
          <t>Pontypool RCC</t>
        </is>
      </c>
      <c r="D465" t="inlineStr">
        <is>
          <t>3</t>
        </is>
      </c>
      <c r="E465" s="2">
        <f>HYPERLINK("https://www.britishcycling.org.uk/points?person_id=470759&amp;year=2024&amp;type=national&amp;d=6","Results")</f>
        <v/>
      </c>
    </row>
    <row r="466">
      <c r="A466" t="inlineStr">
        <is>
          <t>465</t>
        </is>
      </c>
      <c r="B466" t="inlineStr">
        <is>
          <t>Ed Young</t>
        </is>
      </c>
      <c r="C466" t="inlineStr">
        <is>
          <t>Team Wheelguru</t>
        </is>
      </c>
      <c r="D466" t="inlineStr">
        <is>
          <t>3</t>
        </is>
      </c>
      <c r="E466" s="2">
        <f>HYPERLINK("https://www.britishcycling.org.uk/points?person_id=420587&amp;year=2024&amp;type=national&amp;d=6","Results")</f>
        <v/>
      </c>
    </row>
    <row r="467">
      <c r="A467" t="inlineStr">
        <is>
          <t>466</t>
        </is>
      </c>
      <c r="B467" t="inlineStr">
        <is>
          <t>Christopher Buckley</t>
        </is>
      </c>
      <c r="C467" t="inlineStr"/>
      <c r="D467" t="inlineStr">
        <is>
          <t>2</t>
        </is>
      </c>
      <c r="E467" s="2">
        <f>HYPERLINK("https://www.britishcycling.org.uk/points?person_id=1155168&amp;year=2024&amp;type=national&amp;d=6","Results")</f>
        <v/>
      </c>
    </row>
    <row r="468">
      <c r="A468" t="inlineStr">
        <is>
          <t>467</t>
        </is>
      </c>
      <c r="B468" t="inlineStr">
        <is>
          <t>Lucas Buksh</t>
        </is>
      </c>
      <c r="C468" t="inlineStr">
        <is>
          <t>Kettering CC</t>
        </is>
      </c>
      <c r="D468" t="inlineStr">
        <is>
          <t>2</t>
        </is>
      </c>
      <c r="E468" s="2">
        <f>HYPERLINK("https://www.britishcycling.org.uk/points?person_id=849111&amp;year=2024&amp;type=national&amp;d=6","Results")</f>
        <v/>
      </c>
    </row>
    <row r="469">
      <c r="A469" t="inlineStr">
        <is>
          <t>468</t>
        </is>
      </c>
      <c r="B469" t="inlineStr">
        <is>
          <t>Toby Clayson</t>
        </is>
      </c>
      <c r="C469" t="inlineStr">
        <is>
          <t>VC Deal</t>
        </is>
      </c>
      <c r="D469" t="inlineStr">
        <is>
          <t>2</t>
        </is>
      </c>
      <c r="E469" s="2">
        <f>HYPERLINK("https://www.britishcycling.org.uk/points?person_id=431068&amp;year=2024&amp;type=national&amp;d=6","Results")</f>
        <v/>
      </c>
    </row>
    <row r="470">
      <c r="A470" t="inlineStr">
        <is>
          <t>469</t>
        </is>
      </c>
      <c r="B470" t="inlineStr">
        <is>
          <t>Ryan Dummer</t>
        </is>
      </c>
      <c r="C470" t="inlineStr">
        <is>
          <t>Bike Doctor</t>
        </is>
      </c>
      <c r="D470" t="inlineStr">
        <is>
          <t>2</t>
        </is>
      </c>
      <c r="E470" s="2">
        <f>HYPERLINK("https://www.britishcycling.org.uk/points?person_id=759506&amp;year=2024&amp;type=national&amp;d=6","Results")</f>
        <v/>
      </c>
    </row>
    <row r="471">
      <c r="A471" t="inlineStr">
        <is>
          <t>470</t>
        </is>
      </c>
      <c r="B471" t="inlineStr">
        <is>
          <t>Jamie Eastabrook</t>
        </is>
      </c>
      <c r="C471" t="inlineStr">
        <is>
          <t>Towy Riders</t>
        </is>
      </c>
      <c r="D471" t="inlineStr">
        <is>
          <t>2</t>
        </is>
      </c>
      <c r="E471" s="2">
        <f>HYPERLINK("https://www.britishcycling.org.uk/points?person_id=216958&amp;year=2024&amp;type=national&amp;d=6","Results")</f>
        <v/>
      </c>
    </row>
    <row r="472">
      <c r="A472" t="inlineStr">
        <is>
          <t>471</t>
        </is>
      </c>
      <c r="B472" t="inlineStr">
        <is>
          <t>Thomas Gibson</t>
        </is>
      </c>
      <c r="C472" t="inlineStr">
        <is>
          <t>Kent Valley RC</t>
        </is>
      </c>
      <c r="D472" t="inlineStr">
        <is>
          <t>2</t>
        </is>
      </c>
      <c r="E472" s="2">
        <f>HYPERLINK("https://www.britishcycling.org.uk/points?person_id=107997&amp;year=2024&amp;type=national&amp;d=6","Results")</f>
        <v/>
      </c>
    </row>
    <row r="473">
      <c r="A473" t="inlineStr">
        <is>
          <t>472</t>
        </is>
      </c>
      <c r="B473" t="inlineStr">
        <is>
          <t>Oliver Glen</t>
        </is>
      </c>
      <c r="C473" t="inlineStr">
        <is>
          <t>Reifen Racing</t>
        </is>
      </c>
      <c r="D473" t="inlineStr">
        <is>
          <t>2</t>
        </is>
      </c>
      <c r="E473" s="2">
        <f>HYPERLINK("https://www.britishcycling.org.uk/points?person_id=672018&amp;year=2024&amp;type=national&amp;d=6","Results")</f>
        <v/>
      </c>
    </row>
    <row r="474">
      <c r="A474" t="inlineStr">
        <is>
          <t>473</t>
        </is>
      </c>
      <c r="B474" t="inlineStr">
        <is>
          <t>Howard Jarrett</t>
        </is>
      </c>
      <c r="C474" t="inlineStr">
        <is>
          <t>Sotonia CC</t>
        </is>
      </c>
      <c r="D474" t="inlineStr">
        <is>
          <t>2</t>
        </is>
      </c>
      <c r="E474" s="2">
        <f>HYPERLINK("https://www.britishcycling.org.uk/points?person_id=1134115&amp;year=2024&amp;type=national&amp;d=6","Results")</f>
        <v/>
      </c>
    </row>
    <row r="475">
      <c r="A475" t="inlineStr">
        <is>
          <t>474</t>
        </is>
      </c>
      <c r="B475" t="inlineStr">
        <is>
          <t>Paul Lacey</t>
        </is>
      </c>
      <c r="C475" t="inlineStr">
        <is>
          <t>Bradford on Avon</t>
        </is>
      </c>
      <c r="D475" t="inlineStr">
        <is>
          <t>2</t>
        </is>
      </c>
      <c r="E475" s="2">
        <f>HYPERLINK("https://www.britishcycling.org.uk/points?person_id=770464&amp;year=2024&amp;type=national&amp;d=6","Results")</f>
        <v/>
      </c>
    </row>
    <row r="476">
      <c r="A476" t="inlineStr">
        <is>
          <t>475</t>
        </is>
      </c>
      <c r="B476" t="inlineStr">
        <is>
          <t>James Meakin</t>
        </is>
      </c>
      <c r="C476" t="inlineStr">
        <is>
          <t>TRASH MILE</t>
        </is>
      </c>
      <c r="D476" t="inlineStr">
        <is>
          <t>2</t>
        </is>
      </c>
      <c r="E476" s="2">
        <f>HYPERLINK("https://www.britishcycling.org.uk/points?person_id=265931&amp;year=2024&amp;type=national&amp;d=6","Results")</f>
        <v/>
      </c>
    </row>
    <row r="477">
      <c r="A477" t="inlineStr">
        <is>
          <t>476</t>
        </is>
      </c>
      <c r="B477" t="inlineStr">
        <is>
          <t>Reece Pittman</t>
        </is>
      </c>
      <c r="C477" t="inlineStr">
        <is>
          <t>Lee Valley Youth Cycling Club</t>
        </is>
      </c>
      <c r="D477" t="inlineStr">
        <is>
          <t>2</t>
        </is>
      </c>
      <c r="E477" s="2">
        <f>HYPERLINK("https://www.britishcycling.org.uk/points?person_id=744729&amp;year=2024&amp;type=national&amp;d=6","Results")</f>
        <v/>
      </c>
    </row>
    <row r="478">
      <c r="A478" t="inlineStr">
        <is>
          <t>477</t>
        </is>
      </c>
      <c r="B478" t="inlineStr">
        <is>
          <t>Matthew Rivers</t>
        </is>
      </c>
      <c r="C478" t="inlineStr">
        <is>
          <t>Athlon CC</t>
        </is>
      </c>
      <c r="D478" t="inlineStr">
        <is>
          <t>2</t>
        </is>
      </c>
      <c r="E478" s="2">
        <f>HYPERLINK("https://www.britishcycling.org.uk/points?person_id=473681&amp;year=2024&amp;type=national&amp;d=6","Results")</f>
        <v/>
      </c>
    </row>
    <row r="479">
      <c r="A479" t="inlineStr">
        <is>
          <t>478</t>
        </is>
      </c>
      <c r="B479" t="inlineStr">
        <is>
          <t>Philip Roberts</t>
        </is>
      </c>
      <c r="C479" t="inlineStr">
        <is>
          <t>Wrekinsport CC</t>
        </is>
      </c>
      <c r="D479" t="inlineStr">
        <is>
          <t>2</t>
        </is>
      </c>
      <c r="E479" s="2">
        <f>HYPERLINK("https://www.britishcycling.org.uk/points?person_id=519636&amp;year=2024&amp;type=national&amp;d=6","Results")</f>
        <v/>
      </c>
    </row>
    <row r="480">
      <c r="A480" t="inlineStr">
        <is>
          <t>479</t>
        </is>
      </c>
      <c r="B480" t="inlineStr">
        <is>
          <t>Charlie Thomas</t>
        </is>
      </c>
      <c r="C480" t="inlineStr"/>
      <c r="D480" t="inlineStr">
        <is>
          <t>2</t>
        </is>
      </c>
      <c r="E480" s="2">
        <f>HYPERLINK("https://www.britishcycling.org.uk/points?person_id=177998&amp;year=2024&amp;type=national&amp;d=6","Results")</f>
        <v/>
      </c>
    </row>
    <row r="481">
      <c r="A481" t="inlineStr">
        <is>
          <t>480</t>
        </is>
      </c>
      <c r="B481" t="inlineStr">
        <is>
          <t>Michael Tyas</t>
        </is>
      </c>
      <c r="C481" t="inlineStr">
        <is>
          <t>Hull Thursday RC</t>
        </is>
      </c>
      <c r="D481" t="inlineStr">
        <is>
          <t>2</t>
        </is>
      </c>
      <c r="E481" s="2">
        <f>HYPERLINK("https://www.britishcycling.org.uk/points?person_id=31006&amp;year=2024&amp;type=national&amp;d=6","Results")</f>
        <v/>
      </c>
    </row>
    <row r="482">
      <c r="A482" t="inlineStr">
        <is>
          <t>481</t>
        </is>
      </c>
      <c r="B482" t="inlineStr">
        <is>
          <t>Sam Watson</t>
        </is>
      </c>
      <c r="C482" t="inlineStr">
        <is>
          <t>Hope Factory Racing</t>
        </is>
      </c>
      <c r="D482" t="inlineStr">
        <is>
          <t>2</t>
        </is>
      </c>
      <c r="E482" s="2">
        <f>HYPERLINK("https://www.britishcycling.org.uk/points?person_id=988954&amp;year=2024&amp;type=national&amp;d=6","Results")</f>
        <v/>
      </c>
    </row>
    <row r="483">
      <c r="A483" t="inlineStr">
        <is>
          <t>482</t>
        </is>
      </c>
      <c r="B483" t="inlineStr">
        <is>
          <t>Adam Williams</t>
        </is>
      </c>
      <c r="C483" t="inlineStr">
        <is>
          <t>Liverpool University Cycling Club</t>
        </is>
      </c>
      <c r="D483" t="inlineStr">
        <is>
          <t>2</t>
        </is>
      </c>
      <c r="E483" s="2">
        <f>HYPERLINK("https://www.britishcycling.org.uk/points?person_id=652899&amp;year=2024&amp;type=national&amp;d=6","Results")</f>
        <v/>
      </c>
    </row>
    <row r="484">
      <c r="A484" t="inlineStr">
        <is>
          <t>483</t>
        </is>
      </c>
      <c r="B484" t="inlineStr">
        <is>
          <t>Ryan Witchell</t>
        </is>
      </c>
      <c r="C484" t="inlineStr">
        <is>
          <t>Royal Leamington Spa CC (RLSCC)</t>
        </is>
      </c>
      <c r="D484" t="inlineStr">
        <is>
          <t>2</t>
        </is>
      </c>
      <c r="E484" s="2">
        <f>HYPERLINK("https://www.britishcycling.org.uk/points?person_id=188526&amp;year=2024&amp;type=national&amp;d=6","Results")</f>
        <v/>
      </c>
    </row>
    <row r="485">
      <c r="A485" t="inlineStr">
        <is>
          <t>484</t>
        </is>
      </c>
      <c r="B485" t="inlineStr">
        <is>
          <t>Rob Yeatman</t>
        </is>
      </c>
      <c r="C485" t="inlineStr">
        <is>
          <t>TY Cycles Race Team</t>
        </is>
      </c>
      <c r="D485" t="inlineStr">
        <is>
          <t>2</t>
        </is>
      </c>
      <c r="E485" s="2">
        <f>HYPERLINK("https://www.britishcycling.org.uk/points?person_id=63901&amp;year=2024&amp;type=national&amp;d=6","Results")</f>
        <v/>
      </c>
    </row>
    <row r="486">
      <c r="A486" t="inlineStr">
        <is>
          <t>485</t>
        </is>
      </c>
      <c r="B486" t="inlineStr">
        <is>
          <t>Oliver Bates</t>
        </is>
      </c>
      <c r="C486" t="inlineStr">
        <is>
          <t>Islington Cycling Club</t>
        </is>
      </c>
      <c r="D486" t="inlineStr">
        <is>
          <t>1</t>
        </is>
      </c>
      <c r="E486" s="2">
        <f>HYPERLINK("https://www.britishcycling.org.uk/points?person_id=193912&amp;year=2024&amp;type=national&amp;d=6","Results")</f>
        <v/>
      </c>
    </row>
    <row r="487">
      <c r="A487" t="inlineStr">
        <is>
          <t>486</t>
        </is>
      </c>
      <c r="B487" t="inlineStr">
        <is>
          <t>Erik Bews</t>
        </is>
      </c>
      <c r="C487" t="inlineStr">
        <is>
          <t>Orkney Cycling Club</t>
        </is>
      </c>
      <c r="D487" t="inlineStr">
        <is>
          <t>1</t>
        </is>
      </c>
      <c r="E487" s="2">
        <f>HYPERLINK("https://www.britishcycling.org.uk/points?person_id=585815&amp;year=2024&amp;type=national&amp;d=6","Results")</f>
        <v/>
      </c>
    </row>
    <row r="488">
      <c r="A488" t="inlineStr">
        <is>
          <t>487</t>
        </is>
      </c>
      <c r="B488" t="inlineStr">
        <is>
          <t>Jez Blake</t>
        </is>
      </c>
      <c r="C488" t="inlineStr"/>
      <c r="D488" t="inlineStr">
        <is>
          <t>1</t>
        </is>
      </c>
      <c r="E488" s="2">
        <f>HYPERLINK("https://www.britishcycling.org.uk/points?person_id=1159907&amp;year=2024&amp;type=national&amp;d=6","Results")</f>
        <v/>
      </c>
    </row>
    <row r="489">
      <c r="A489" t="inlineStr">
        <is>
          <t>488</t>
        </is>
      </c>
      <c r="B489" t="inlineStr">
        <is>
          <t>Daniel Brooks</t>
        </is>
      </c>
      <c r="C489" t="inlineStr">
        <is>
          <t>Warwick Lanterne Rouge C.C</t>
        </is>
      </c>
      <c r="D489" t="inlineStr">
        <is>
          <t>1</t>
        </is>
      </c>
      <c r="E489" s="2">
        <f>HYPERLINK("https://www.britishcycling.org.uk/points?person_id=804965&amp;year=2024&amp;type=national&amp;d=6","Results")</f>
        <v/>
      </c>
    </row>
    <row r="490">
      <c r="A490" t="inlineStr">
        <is>
          <t>489</t>
        </is>
      </c>
      <c r="B490" t="inlineStr">
        <is>
          <t>Ross Burgess</t>
        </is>
      </c>
      <c r="C490" t="inlineStr">
        <is>
          <t>Torvelo Racing</t>
        </is>
      </c>
      <c r="D490" t="inlineStr">
        <is>
          <t>1</t>
        </is>
      </c>
      <c r="E490" s="2">
        <f>HYPERLINK("https://www.britishcycling.org.uk/points?person_id=346059&amp;year=2024&amp;type=national&amp;d=6","Results")</f>
        <v/>
      </c>
    </row>
    <row r="491">
      <c r="A491" t="inlineStr">
        <is>
          <t>490</t>
        </is>
      </c>
      <c r="B491" t="inlineStr">
        <is>
          <t>Ross Creber</t>
        </is>
      </c>
      <c r="C491" t="inlineStr">
        <is>
          <t>Ryan's Bike Surgery-Thomson Homes</t>
        </is>
      </c>
      <c r="D491" t="inlineStr">
        <is>
          <t>1</t>
        </is>
      </c>
      <c r="E491" s="2">
        <f>HYPERLINK("https://www.britishcycling.org.uk/points?person_id=69977&amp;year=2024&amp;type=national&amp;d=6","Results")</f>
        <v/>
      </c>
    </row>
    <row r="492">
      <c r="A492" t="inlineStr">
        <is>
          <t>491</t>
        </is>
      </c>
      <c r="B492" t="inlineStr">
        <is>
          <t>Christopher Davey</t>
        </is>
      </c>
      <c r="C492" t="inlineStr"/>
      <c r="D492" t="inlineStr">
        <is>
          <t>1</t>
        </is>
      </c>
      <c r="E492" s="2">
        <f>HYPERLINK("https://www.britishcycling.org.uk/points?person_id=878974&amp;year=2024&amp;type=national&amp;d=6","Results")</f>
        <v/>
      </c>
    </row>
    <row r="493">
      <c r="A493" t="inlineStr">
        <is>
          <t>492</t>
        </is>
      </c>
      <c r="B493" t="inlineStr">
        <is>
          <t>Rhys Griffin</t>
        </is>
      </c>
      <c r="C493" t="inlineStr">
        <is>
          <t>Cardiff JIF</t>
        </is>
      </c>
      <c r="D493" t="inlineStr">
        <is>
          <t>1</t>
        </is>
      </c>
      <c r="E493" s="2">
        <f>HYPERLINK("https://www.britishcycling.org.uk/points?person_id=237118&amp;year=2024&amp;type=national&amp;d=6","Results")</f>
        <v/>
      </c>
    </row>
    <row r="494">
      <c r="A494" t="inlineStr">
        <is>
          <t>493</t>
        </is>
      </c>
      <c r="B494" t="inlineStr">
        <is>
          <t>Nicholas Huins</t>
        </is>
      </c>
      <c r="C494" t="inlineStr">
        <is>
          <t>Droitwich Cycling Club</t>
        </is>
      </c>
      <c r="D494" t="inlineStr">
        <is>
          <t>1</t>
        </is>
      </c>
      <c r="E494" s="2">
        <f>HYPERLINK("https://www.britishcycling.org.uk/points?person_id=1085510&amp;year=2024&amp;type=national&amp;d=6","Results")</f>
        <v/>
      </c>
    </row>
    <row r="495">
      <c r="A495" t="inlineStr">
        <is>
          <t>494</t>
        </is>
      </c>
      <c r="B495" t="inlineStr">
        <is>
          <t>Simon Wright</t>
        </is>
      </c>
      <c r="C495" t="inlineStr">
        <is>
          <t>Army Cycling Union</t>
        </is>
      </c>
      <c r="D495" t="inlineStr">
        <is>
          <t>1</t>
        </is>
      </c>
      <c r="E495" s="2">
        <f>HYPERLINK("https://www.britishcycling.org.uk/points?person_id=725246&amp;year=2024&amp;type=national&amp;d=6","Results")</f>
        <v/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F367"/>
  <sheetViews>
    <sheetView workbookViewId="0">
      <selection activeCell="A1" sqref="A1"/>
    </sheetView>
  </sheetViews>
  <sheetFormatPr baseColWidth="8" defaultRowHeight="15"/>
  <cols>
    <col width="8" customWidth="1" min="1" max="1"/>
    <col width="25" customWidth="1" min="2" max="2"/>
    <col width="50" customWidth="1" min="3" max="3"/>
    <col width="7" customWidth="1" min="4" max="4"/>
    <col width="20" customWidth="1" min="5" max="5"/>
  </cols>
  <sheetData>
    <row r="1">
      <c r="A1" s="1" t="inlineStr">
        <is>
          <t>Ranking</t>
        </is>
      </c>
      <c r="B1" s="1" t="inlineStr">
        <is>
          <t>Name</t>
        </is>
      </c>
      <c r="C1" s="1" t="inlineStr">
        <is>
          <t>Club/Team</t>
        </is>
      </c>
      <c r="D1" s="1" t="inlineStr">
        <is>
          <t>Points</t>
        </is>
      </c>
      <c r="E1" s="1" t="inlineStr">
        <is>
          <t>Detail (click)</t>
        </is>
      </c>
      <c r="F1" s="1" t="inlineStr">
        <is>
          <t>Updated: 2024-12-20</t>
        </is>
      </c>
    </row>
    <row r="2">
      <c r="A2" t="inlineStr">
        <is>
          <t>1</t>
        </is>
      </c>
      <c r="B2" t="inlineStr">
        <is>
          <t>Paul Lloyd</t>
        </is>
      </c>
      <c r="C2" t="inlineStr">
        <is>
          <t>Banjo Cycles/Raceware</t>
        </is>
      </c>
      <c r="D2" t="inlineStr">
        <is>
          <t>562</t>
        </is>
      </c>
      <c r="E2" s="2">
        <f>HYPERLINK("https://www.britishcycling.org.uk/points?person_id=64633&amp;year=2024&amp;type=national&amp;d=6","Results")</f>
        <v/>
      </c>
    </row>
    <row r="3">
      <c r="A3" t="inlineStr">
        <is>
          <t>2</t>
        </is>
      </c>
      <c r="B3" t="inlineStr">
        <is>
          <t>Alan Gunner</t>
        </is>
      </c>
      <c r="C3" t="inlineStr">
        <is>
          <t>Verulam - reallymoving.com</t>
        </is>
      </c>
      <c r="D3" t="inlineStr">
        <is>
          <t>502</t>
        </is>
      </c>
      <c r="E3" s="2">
        <f>HYPERLINK("https://www.britishcycling.org.uk/points?person_id=875411&amp;year=2024&amp;type=national&amp;d=6","Results")</f>
        <v/>
      </c>
    </row>
    <row r="4">
      <c r="A4" t="inlineStr">
        <is>
          <t>3</t>
        </is>
      </c>
      <c r="B4" t="inlineStr">
        <is>
          <t>Adrian Lansley</t>
        </is>
      </c>
      <c r="C4" t="inlineStr">
        <is>
          <t>Pedalon.co.uk</t>
        </is>
      </c>
      <c r="D4" t="inlineStr">
        <is>
          <t>438</t>
        </is>
      </c>
      <c r="E4" s="2">
        <f>HYPERLINK("https://www.britishcycling.org.uk/points?person_id=29240&amp;year=2024&amp;type=national&amp;d=6","Results")</f>
        <v/>
      </c>
    </row>
    <row r="5">
      <c r="A5" t="inlineStr">
        <is>
          <t>4</t>
        </is>
      </c>
      <c r="B5" t="inlineStr">
        <is>
          <t>David Earth</t>
        </is>
      </c>
      <c r="C5" t="inlineStr">
        <is>
          <t>Rose Race Team</t>
        </is>
      </c>
      <c r="D5" t="inlineStr">
        <is>
          <t>420</t>
        </is>
      </c>
      <c r="E5" s="2">
        <f>HYPERLINK("https://www.britishcycling.org.uk/points?person_id=63660&amp;year=2024&amp;type=national&amp;d=6","Results")</f>
        <v/>
      </c>
    </row>
    <row r="6">
      <c r="A6" t="inlineStr">
        <is>
          <t>5</t>
        </is>
      </c>
      <c r="B6" t="inlineStr">
        <is>
          <t>Andrew Gardiner</t>
        </is>
      </c>
      <c r="C6" t="inlineStr">
        <is>
          <t>Sotonia CC</t>
        </is>
      </c>
      <c r="D6" t="inlineStr">
        <is>
          <t>380</t>
        </is>
      </c>
      <c r="E6" s="2">
        <f>HYPERLINK("https://www.britishcycling.org.uk/points?person_id=103693&amp;year=2024&amp;type=national&amp;d=6","Results")</f>
        <v/>
      </c>
    </row>
    <row r="7">
      <c r="A7" t="inlineStr">
        <is>
          <t>6</t>
        </is>
      </c>
      <c r="B7" t="inlineStr">
        <is>
          <t>Robert Jebb</t>
        </is>
      </c>
      <c r="C7" t="inlineStr">
        <is>
          <t>Hope Tech Factory Racing</t>
        </is>
      </c>
      <c r="D7" t="inlineStr">
        <is>
          <t>376</t>
        </is>
      </c>
      <c r="E7" s="2">
        <f>HYPERLINK("https://www.britishcycling.org.uk/points?person_id=39724&amp;year=2024&amp;type=national&amp;d=6","Results")</f>
        <v/>
      </c>
    </row>
    <row r="8">
      <c r="A8" t="inlineStr">
        <is>
          <t>7</t>
        </is>
      </c>
      <c r="B8" t="inlineStr">
        <is>
          <t>Nick Drew</t>
        </is>
      </c>
      <c r="C8" t="inlineStr">
        <is>
          <t>Dyson Cycles</t>
        </is>
      </c>
      <c r="D8" t="inlineStr">
        <is>
          <t>370</t>
        </is>
      </c>
      <c r="E8" s="2">
        <f>HYPERLINK("https://www.britishcycling.org.uk/points?person_id=24300&amp;year=2024&amp;type=national&amp;d=6","Results")</f>
        <v/>
      </c>
    </row>
    <row r="9">
      <c r="A9" t="inlineStr">
        <is>
          <t>8</t>
        </is>
      </c>
      <c r="B9" t="inlineStr">
        <is>
          <t>David Morris</t>
        </is>
      </c>
      <c r="C9" t="inlineStr">
        <is>
          <t>Grity Race Team</t>
        </is>
      </c>
      <c r="D9" t="inlineStr">
        <is>
          <t>358</t>
        </is>
      </c>
      <c r="E9" s="2">
        <f>HYPERLINK("https://www.britishcycling.org.uk/points?person_id=29364&amp;year=2024&amp;type=national&amp;d=6","Results")</f>
        <v/>
      </c>
    </row>
    <row r="10">
      <c r="A10" t="inlineStr">
        <is>
          <t>9</t>
        </is>
      </c>
      <c r="B10" t="inlineStr">
        <is>
          <t>Adam Cadle</t>
        </is>
      </c>
      <c r="C10" t="inlineStr"/>
      <c r="D10" t="inlineStr">
        <is>
          <t>338</t>
        </is>
      </c>
      <c r="E10" s="2">
        <f>HYPERLINK("https://www.britishcycling.org.uk/points?person_id=119206&amp;year=2024&amp;type=national&amp;d=6","Results")</f>
        <v/>
      </c>
    </row>
    <row r="11">
      <c r="A11" t="inlineStr">
        <is>
          <t>10</t>
        </is>
      </c>
      <c r="B11" t="inlineStr">
        <is>
          <t>Adam Betts</t>
        </is>
      </c>
      <c r="C11" t="inlineStr">
        <is>
          <t>www.Zepnat.com RT - Lazer Helmets</t>
        </is>
      </c>
      <c r="D11" t="inlineStr">
        <is>
          <t>326</t>
        </is>
      </c>
      <c r="E11" s="2">
        <f>HYPERLINK("https://www.britishcycling.org.uk/points?person_id=21998&amp;year=2024&amp;type=national&amp;d=6","Results")</f>
        <v/>
      </c>
    </row>
    <row r="12">
      <c r="A12" t="inlineStr">
        <is>
          <t>11</t>
        </is>
      </c>
      <c r="B12" t="inlineStr">
        <is>
          <t>Giles Drake</t>
        </is>
      </c>
      <c r="C12" t="inlineStr">
        <is>
          <t>Wheelbase CabTech Castelli</t>
        </is>
      </c>
      <c r="D12" t="inlineStr">
        <is>
          <t>322</t>
        </is>
      </c>
      <c r="E12" s="2">
        <f>HYPERLINK("https://www.britishcycling.org.uk/points?person_id=78277&amp;year=2024&amp;type=national&amp;d=6","Results")</f>
        <v/>
      </c>
    </row>
    <row r="13">
      <c r="A13" t="inlineStr">
        <is>
          <t>12</t>
        </is>
      </c>
      <c r="B13" t="inlineStr">
        <is>
          <t>James Thompson</t>
        </is>
      </c>
      <c r="C13" t="inlineStr">
        <is>
          <t>Rutland CC</t>
        </is>
      </c>
      <c r="D13" t="inlineStr">
        <is>
          <t>312</t>
        </is>
      </c>
      <c r="E13" s="2">
        <f>HYPERLINK("https://www.britishcycling.org.uk/points?person_id=14968&amp;year=2024&amp;type=national&amp;d=6","Results")</f>
        <v/>
      </c>
    </row>
    <row r="14">
      <c r="A14" t="inlineStr">
        <is>
          <t>13</t>
        </is>
      </c>
      <c r="B14" t="inlineStr">
        <is>
          <t>Andrew Wearing</t>
        </is>
      </c>
      <c r="C14" t="inlineStr">
        <is>
          <t>Mike Vaughan Cycles</t>
        </is>
      </c>
      <c r="D14" t="inlineStr">
        <is>
          <t>304</t>
        </is>
      </c>
      <c r="E14" s="2">
        <f>HYPERLINK("https://www.britishcycling.org.uk/points?person_id=9842&amp;year=2024&amp;type=national&amp;d=6","Results")</f>
        <v/>
      </c>
    </row>
    <row r="15">
      <c r="A15" t="inlineStr">
        <is>
          <t>14</t>
        </is>
      </c>
      <c r="B15" t="inlineStr">
        <is>
          <t>Lewys Hobbs</t>
        </is>
      </c>
      <c r="C15" t="inlineStr">
        <is>
          <t>UF Rowe &amp; King</t>
        </is>
      </c>
      <c r="D15" t="inlineStr">
        <is>
          <t>300</t>
        </is>
      </c>
      <c r="E15" s="2">
        <f>HYPERLINK("https://www.britishcycling.org.uk/points?person_id=17464&amp;year=2024&amp;type=national&amp;d=6","Results")</f>
        <v/>
      </c>
    </row>
    <row r="16">
      <c r="A16" t="inlineStr">
        <is>
          <t>15</t>
        </is>
      </c>
      <c r="B16" t="inlineStr">
        <is>
          <t>Philip Glowinski</t>
        </is>
      </c>
      <c r="C16" t="inlineStr">
        <is>
          <t>VC Londres</t>
        </is>
      </c>
      <c r="D16" t="inlineStr">
        <is>
          <t>296</t>
        </is>
      </c>
      <c r="E16" s="2">
        <f>HYPERLINK("https://www.britishcycling.org.uk/points?person_id=34945&amp;year=2024&amp;type=national&amp;d=6","Results")</f>
        <v/>
      </c>
    </row>
    <row r="17">
      <c r="A17" t="inlineStr">
        <is>
          <t>16</t>
        </is>
      </c>
      <c r="B17" t="inlineStr">
        <is>
          <t>Glyndwr Griffiths</t>
        </is>
      </c>
      <c r="C17" t="inlineStr">
        <is>
          <t>WestSide Coaching, 73 Degrees</t>
        </is>
      </c>
      <c r="D17" t="inlineStr">
        <is>
          <t>292</t>
        </is>
      </c>
      <c r="E17" s="2">
        <f>HYPERLINK("https://www.britishcycling.org.uk/points?person_id=63645&amp;year=2024&amp;type=national&amp;d=6","Results")</f>
        <v/>
      </c>
    </row>
    <row r="18">
      <c r="A18" t="inlineStr">
        <is>
          <t>17</t>
        </is>
      </c>
      <c r="B18" t="inlineStr">
        <is>
          <t>Alan Duncan</t>
        </is>
      </c>
      <c r="C18" t="inlineStr">
        <is>
          <t>Sherwood Pines Cycles Forme</t>
        </is>
      </c>
      <c r="D18" t="inlineStr">
        <is>
          <t>290</t>
        </is>
      </c>
      <c r="E18" s="2">
        <f>HYPERLINK("https://www.britishcycling.org.uk/points?person_id=289725&amp;year=2024&amp;type=national&amp;d=6","Results")</f>
        <v/>
      </c>
    </row>
    <row r="19">
      <c r="A19" t="inlineStr">
        <is>
          <t>18</t>
        </is>
      </c>
      <c r="B19" t="inlineStr">
        <is>
          <t>Neil Dunn</t>
        </is>
      </c>
      <c r="C19" t="inlineStr"/>
      <c r="D19" t="inlineStr">
        <is>
          <t>256</t>
        </is>
      </c>
      <c r="E19" s="2">
        <f>HYPERLINK("https://www.britishcycling.org.uk/points?person_id=102086&amp;year=2024&amp;type=national&amp;d=6","Results")</f>
        <v/>
      </c>
    </row>
    <row r="20">
      <c r="A20" t="inlineStr">
        <is>
          <t>19</t>
        </is>
      </c>
      <c r="B20" t="inlineStr">
        <is>
          <t>Geoffrey Lulham</t>
        </is>
      </c>
      <c r="C20" t="inlineStr">
        <is>
          <t>ViCiOUS VELO</t>
        </is>
      </c>
      <c r="D20" t="inlineStr">
        <is>
          <t>256</t>
        </is>
      </c>
      <c r="E20" s="2">
        <f>HYPERLINK("https://www.britishcycling.org.uk/points?person_id=14945&amp;year=2024&amp;type=national&amp;d=6","Results")</f>
        <v/>
      </c>
    </row>
    <row r="21">
      <c r="A21" t="inlineStr">
        <is>
          <t>20</t>
        </is>
      </c>
      <c r="B21" t="inlineStr">
        <is>
          <t>Chris Thomas</t>
        </is>
      </c>
      <c r="C21" t="inlineStr">
        <is>
          <t>Bioracer UK RT</t>
        </is>
      </c>
      <c r="D21" t="inlineStr">
        <is>
          <t>256</t>
        </is>
      </c>
      <c r="E21" s="2">
        <f>HYPERLINK("https://www.britishcycling.org.uk/points?person_id=32234&amp;year=2024&amp;type=national&amp;d=6","Results")</f>
        <v/>
      </c>
    </row>
    <row r="22">
      <c r="A22" t="inlineStr">
        <is>
          <t>21</t>
        </is>
      </c>
      <c r="B22" t="inlineStr">
        <is>
          <t>Richard Middleton</t>
        </is>
      </c>
      <c r="C22" t="inlineStr">
        <is>
          <t>Shibden Cycling Club</t>
        </is>
      </c>
      <c r="D22" t="inlineStr">
        <is>
          <t>254</t>
        </is>
      </c>
      <c r="E22" s="2">
        <f>HYPERLINK("https://www.britishcycling.org.uk/points?person_id=315217&amp;year=2024&amp;type=national&amp;d=6","Results")</f>
        <v/>
      </c>
    </row>
    <row r="23">
      <c r="A23" t="inlineStr">
        <is>
          <t>22</t>
        </is>
      </c>
      <c r="B23" t="inlineStr">
        <is>
          <t>Graham Briggs</t>
        </is>
      </c>
      <c r="C23" t="inlineStr">
        <is>
          <t>Clancy Briggs Cycling Academy</t>
        </is>
      </c>
      <c r="D23" t="inlineStr">
        <is>
          <t>252</t>
        </is>
      </c>
      <c r="E23" s="2">
        <f>HYPERLINK("https://www.britishcycling.org.uk/points?person_id=49277&amp;year=2024&amp;type=national&amp;d=6","Results")</f>
        <v/>
      </c>
    </row>
    <row r="24">
      <c r="A24" t="inlineStr">
        <is>
          <t>23</t>
        </is>
      </c>
      <c r="B24" t="inlineStr">
        <is>
          <t>Philip Holwell</t>
        </is>
      </c>
      <c r="C24" t="inlineStr">
        <is>
          <t>www.Zepnat.com RT - Lazer Helmets</t>
        </is>
      </c>
      <c r="D24" t="inlineStr">
        <is>
          <t>249</t>
        </is>
      </c>
      <c r="E24" s="2">
        <f>HYPERLINK("https://www.britishcycling.org.uk/points?person_id=20732&amp;year=2024&amp;type=national&amp;d=6","Results")</f>
        <v/>
      </c>
    </row>
    <row r="25">
      <c r="A25" t="inlineStr">
        <is>
          <t>24</t>
        </is>
      </c>
      <c r="B25" t="inlineStr">
        <is>
          <t>Ben Lambert</t>
        </is>
      </c>
      <c r="C25" t="inlineStr">
        <is>
          <t>TEAM TYPE ONE STYLE</t>
        </is>
      </c>
      <c r="D25" t="inlineStr">
        <is>
          <t>248</t>
        </is>
      </c>
      <c r="E25" s="2">
        <f>HYPERLINK("https://www.britishcycling.org.uk/points?person_id=402823&amp;year=2024&amp;type=national&amp;d=6","Results")</f>
        <v/>
      </c>
    </row>
    <row r="26">
      <c r="A26" t="inlineStr">
        <is>
          <t>25</t>
        </is>
      </c>
      <c r="B26" t="inlineStr">
        <is>
          <t>Gareth Whittall</t>
        </is>
      </c>
      <c r="C26" t="inlineStr"/>
      <c r="D26" t="inlineStr">
        <is>
          <t>248</t>
        </is>
      </c>
      <c r="E26" s="2">
        <f>HYPERLINK("https://www.britishcycling.org.uk/points?person_id=721&amp;year=2024&amp;type=national&amp;d=6","Results")</f>
        <v/>
      </c>
    </row>
    <row r="27">
      <c r="A27" t="inlineStr">
        <is>
          <t>26</t>
        </is>
      </c>
      <c r="B27" t="inlineStr">
        <is>
          <t>Lewis Craven</t>
        </is>
      </c>
      <c r="C27" t="inlineStr">
        <is>
          <t>Wheelbase CabTech Castelli</t>
        </is>
      </c>
      <c r="D27" t="inlineStr">
        <is>
          <t>246</t>
        </is>
      </c>
      <c r="E27" s="2">
        <f>HYPERLINK("https://www.britishcycling.org.uk/points?person_id=79292&amp;year=2024&amp;type=national&amp;d=6","Results")</f>
        <v/>
      </c>
    </row>
    <row r="28">
      <c r="A28" t="inlineStr">
        <is>
          <t>27</t>
        </is>
      </c>
      <c r="B28" t="inlineStr">
        <is>
          <t>Paul Oldham</t>
        </is>
      </c>
      <c r="C28" t="inlineStr">
        <is>
          <t>Hope Tech Factory Racing</t>
        </is>
      </c>
      <c r="D28" t="inlineStr">
        <is>
          <t>236</t>
        </is>
      </c>
      <c r="E28" s="2">
        <f>HYPERLINK("https://www.britishcycling.org.uk/points?person_id=7344&amp;year=2024&amp;type=national&amp;d=6","Results")</f>
        <v/>
      </c>
    </row>
    <row r="29">
      <c r="A29" t="inlineStr">
        <is>
          <t>28</t>
        </is>
      </c>
      <c r="B29" t="inlineStr">
        <is>
          <t>Richard Shephard</t>
        </is>
      </c>
      <c r="C29" t="inlineStr">
        <is>
          <t>Stratford CC</t>
        </is>
      </c>
      <c r="D29" t="inlineStr">
        <is>
          <t>234</t>
        </is>
      </c>
      <c r="E29" s="2">
        <f>HYPERLINK("https://www.britishcycling.org.uk/points?person_id=274680&amp;year=2024&amp;type=national&amp;d=6","Results")</f>
        <v/>
      </c>
    </row>
    <row r="30">
      <c r="A30" t="inlineStr">
        <is>
          <t>29</t>
        </is>
      </c>
      <c r="B30" t="inlineStr">
        <is>
          <t>Gary Price</t>
        </is>
      </c>
      <c r="C30" t="inlineStr">
        <is>
          <t>Stolen Goat Race Club</t>
        </is>
      </c>
      <c r="D30" t="inlineStr">
        <is>
          <t>232</t>
        </is>
      </c>
      <c r="E30" s="2">
        <f>HYPERLINK("https://www.britishcycling.org.uk/points?person_id=232411&amp;year=2024&amp;type=national&amp;d=6","Results")</f>
        <v/>
      </c>
    </row>
    <row r="31">
      <c r="A31" t="inlineStr">
        <is>
          <t>30</t>
        </is>
      </c>
      <c r="B31" t="inlineStr">
        <is>
          <t>Arjan Planting</t>
        </is>
      </c>
      <c r="C31" t="inlineStr">
        <is>
          <t>Dulwich Paragon CC</t>
        </is>
      </c>
      <c r="D31" t="inlineStr">
        <is>
          <t>226</t>
        </is>
      </c>
      <c r="E31" s="2">
        <f>HYPERLINK("https://www.britishcycling.org.uk/points?person_id=19900&amp;year=2024&amp;type=national&amp;d=6","Results")</f>
        <v/>
      </c>
    </row>
    <row r="32">
      <c r="A32" t="inlineStr">
        <is>
          <t>31</t>
        </is>
      </c>
      <c r="B32" t="inlineStr">
        <is>
          <t>Angus Rivers</t>
        </is>
      </c>
      <c r="C32" t="inlineStr"/>
      <c r="D32" t="inlineStr">
        <is>
          <t>226</t>
        </is>
      </c>
      <c r="E32" s="2">
        <f>HYPERLINK("https://www.britishcycling.org.uk/points?person_id=1026365&amp;year=2024&amp;type=national&amp;d=6","Results")</f>
        <v/>
      </c>
    </row>
    <row r="33">
      <c r="A33" t="inlineStr">
        <is>
          <t>32</t>
        </is>
      </c>
      <c r="B33" t="inlineStr">
        <is>
          <t>Nick Blight</t>
        </is>
      </c>
      <c r="C33" t="inlineStr">
        <is>
          <t>Nopinz Race Team</t>
        </is>
      </c>
      <c r="D33" t="inlineStr">
        <is>
          <t>224</t>
        </is>
      </c>
      <c r="E33" s="2">
        <f>HYPERLINK("https://www.britishcycling.org.uk/points?person_id=621460&amp;year=2024&amp;type=national&amp;d=6","Results")</f>
        <v/>
      </c>
    </row>
    <row r="34">
      <c r="A34" t="inlineStr">
        <is>
          <t>33</t>
        </is>
      </c>
      <c r="B34" t="inlineStr">
        <is>
          <t>Pete Boustred</t>
        </is>
      </c>
      <c r="C34" t="inlineStr">
        <is>
          <t>Sotonia CC</t>
        </is>
      </c>
      <c r="D34" t="inlineStr">
        <is>
          <t>216</t>
        </is>
      </c>
      <c r="E34" s="2">
        <f>HYPERLINK("https://www.britishcycling.org.uk/points?person_id=689998&amp;year=2024&amp;type=national&amp;d=6","Results")</f>
        <v/>
      </c>
    </row>
    <row r="35">
      <c r="A35" t="inlineStr">
        <is>
          <t>34</t>
        </is>
      </c>
      <c r="B35" t="inlineStr">
        <is>
          <t>Andrew Cockburn</t>
        </is>
      </c>
      <c r="C35" t="inlineStr"/>
      <c r="D35" t="inlineStr">
        <is>
          <t>214</t>
        </is>
      </c>
      <c r="E35" s="2">
        <f>HYPERLINK("https://www.britishcycling.org.uk/points?person_id=49258&amp;year=2024&amp;type=national&amp;d=6","Results")</f>
        <v/>
      </c>
    </row>
    <row r="36">
      <c r="A36" t="inlineStr">
        <is>
          <t>35</t>
        </is>
      </c>
      <c r="B36" t="inlineStr">
        <is>
          <t>Colin Miller</t>
        </is>
      </c>
      <c r="C36" t="inlineStr">
        <is>
          <t>Team Enable MI Racing</t>
        </is>
      </c>
      <c r="D36" t="inlineStr">
        <is>
          <t>212</t>
        </is>
      </c>
      <c r="E36" s="2">
        <f>HYPERLINK("https://www.britishcycling.org.uk/points?person_id=8174&amp;year=2024&amp;type=national&amp;d=6","Results")</f>
        <v/>
      </c>
    </row>
    <row r="37">
      <c r="A37" t="inlineStr">
        <is>
          <t>36</t>
        </is>
      </c>
      <c r="B37" t="inlineStr">
        <is>
          <t>Ifan Richards</t>
        </is>
      </c>
      <c r="C37" t="inlineStr"/>
      <c r="D37" t="inlineStr">
        <is>
          <t>211</t>
        </is>
      </c>
      <c r="E37" s="2">
        <f>HYPERLINK("https://www.britishcycling.org.uk/points?person_id=46595&amp;year=2024&amp;type=national&amp;d=6","Results")</f>
        <v/>
      </c>
    </row>
    <row r="38">
      <c r="A38" t="inlineStr">
        <is>
          <t>37</t>
        </is>
      </c>
      <c r="B38" t="inlineStr">
        <is>
          <t>Jason Painton</t>
        </is>
      </c>
      <c r="C38" t="inlineStr"/>
      <c r="D38" t="inlineStr">
        <is>
          <t>209</t>
        </is>
      </c>
      <c r="E38" s="2">
        <f>HYPERLINK("https://www.britishcycling.org.uk/points?person_id=29009&amp;year=2024&amp;type=national&amp;d=6","Results")</f>
        <v/>
      </c>
    </row>
    <row r="39">
      <c r="A39" t="inlineStr">
        <is>
          <t>38</t>
        </is>
      </c>
      <c r="B39" t="inlineStr">
        <is>
          <t>Daniel Preece</t>
        </is>
      </c>
      <c r="C39" t="inlineStr">
        <is>
          <t>Army Cycling Union</t>
        </is>
      </c>
      <c r="D39" t="inlineStr">
        <is>
          <t>208</t>
        </is>
      </c>
      <c r="E39" s="2">
        <f>HYPERLINK("https://www.britishcycling.org.uk/points?person_id=502030&amp;year=2024&amp;type=national&amp;d=6","Results")</f>
        <v/>
      </c>
    </row>
    <row r="40">
      <c r="A40" t="inlineStr">
        <is>
          <t>39</t>
        </is>
      </c>
      <c r="B40" t="inlineStr">
        <is>
          <t>Tony Fawcett</t>
        </is>
      </c>
      <c r="C40" t="inlineStr">
        <is>
          <t>SCOTT Pioneer DJ</t>
        </is>
      </c>
      <c r="D40" t="inlineStr">
        <is>
          <t>204</t>
        </is>
      </c>
      <c r="E40" s="2">
        <f>HYPERLINK("https://www.britishcycling.org.uk/points?person_id=17723&amp;year=2024&amp;type=national&amp;d=6","Results")</f>
        <v/>
      </c>
    </row>
    <row r="41">
      <c r="A41" t="inlineStr">
        <is>
          <t>40</t>
        </is>
      </c>
      <c r="B41" t="inlineStr">
        <is>
          <t>Andrew Taylor</t>
        </is>
      </c>
      <c r="C41" t="inlineStr">
        <is>
          <t>C and N Cycles RT</t>
        </is>
      </c>
      <c r="D41" t="inlineStr">
        <is>
          <t>202</t>
        </is>
      </c>
      <c r="E41" s="2">
        <f>HYPERLINK("https://www.britishcycling.org.uk/points?person_id=52929&amp;year=2024&amp;type=national&amp;d=6","Results")</f>
        <v/>
      </c>
    </row>
    <row r="42">
      <c r="A42" t="inlineStr">
        <is>
          <t>41</t>
        </is>
      </c>
      <c r="B42" t="inlineStr">
        <is>
          <t>James Allaway</t>
        </is>
      </c>
      <c r="C42" t="inlineStr">
        <is>
          <t>Pedalon.co.uk</t>
        </is>
      </c>
      <c r="D42" t="inlineStr">
        <is>
          <t>201</t>
        </is>
      </c>
      <c r="E42" s="2">
        <f>HYPERLINK("https://www.britishcycling.org.uk/points?person_id=323426&amp;year=2024&amp;type=national&amp;d=6","Results")</f>
        <v/>
      </c>
    </row>
    <row r="43">
      <c r="A43" t="inlineStr">
        <is>
          <t>42</t>
        </is>
      </c>
      <c r="B43" t="inlineStr">
        <is>
          <t>Simon Myatt</t>
        </is>
      </c>
      <c r="C43" t="inlineStr">
        <is>
          <t>Matlock CC</t>
        </is>
      </c>
      <c r="D43" t="inlineStr">
        <is>
          <t>201</t>
        </is>
      </c>
      <c r="E43" s="2">
        <f>HYPERLINK("https://www.britishcycling.org.uk/points?person_id=938164&amp;year=2024&amp;type=national&amp;d=6","Results")</f>
        <v/>
      </c>
    </row>
    <row r="44">
      <c r="A44" t="inlineStr">
        <is>
          <t>43</t>
        </is>
      </c>
      <c r="B44" t="inlineStr">
        <is>
          <t>Jan Grosicki</t>
        </is>
      </c>
      <c r="C44" t="inlineStr">
        <is>
          <t>Sussex Revolution Velo Club</t>
        </is>
      </c>
      <c r="D44" t="inlineStr">
        <is>
          <t>200</t>
        </is>
      </c>
      <c r="E44" s="2">
        <f>HYPERLINK("https://www.britishcycling.org.uk/points?person_id=532332&amp;year=2024&amp;type=national&amp;d=6","Results")</f>
        <v/>
      </c>
    </row>
    <row r="45">
      <c r="A45" t="inlineStr">
        <is>
          <t>44</t>
        </is>
      </c>
      <c r="B45" t="inlineStr">
        <is>
          <t>Jules Birks</t>
        </is>
      </c>
      <c r="C45" t="inlineStr">
        <is>
          <t>Team Zero Allez</t>
        </is>
      </c>
      <c r="D45" t="inlineStr">
        <is>
          <t>198</t>
        </is>
      </c>
      <c r="E45" s="2">
        <f>HYPERLINK("https://www.britishcycling.org.uk/points?person_id=7809&amp;year=2024&amp;type=national&amp;d=6","Results")</f>
        <v/>
      </c>
    </row>
    <row r="46">
      <c r="A46" t="inlineStr">
        <is>
          <t>45</t>
        </is>
      </c>
      <c r="B46" t="inlineStr">
        <is>
          <t>Scott Palmer</t>
        </is>
      </c>
      <c r="C46" t="inlineStr">
        <is>
          <t>Aerologic RT</t>
        </is>
      </c>
      <c r="D46" t="inlineStr">
        <is>
          <t>195</t>
        </is>
      </c>
      <c r="E46" s="2">
        <f>HYPERLINK("https://www.britishcycling.org.uk/points?person_id=244617&amp;year=2024&amp;type=national&amp;d=6","Results")</f>
        <v/>
      </c>
    </row>
    <row r="47">
      <c r="A47" t="inlineStr">
        <is>
          <t>46</t>
        </is>
      </c>
      <c r="B47" t="inlineStr">
        <is>
          <t>Benjamin Causon</t>
        </is>
      </c>
      <c r="C47" t="inlineStr">
        <is>
          <t>Plymouth Corinthian CC</t>
        </is>
      </c>
      <c r="D47" t="inlineStr">
        <is>
          <t>194</t>
        </is>
      </c>
      <c r="E47" s="2">
        <f>HYPERLINK("https://www.britishcycling.org.uk/points?person_id=586210&amp;year=2024&amp;type=national&amp;d=6","Results")</f>
        <v/>
      </c>
    </row>
    <row r="48">
      <c r="A48" t="inlineStr">
        <is>
          <t>47</t>
        </is>
      </c>
      <c r="B48" t="inlineStr">
        <is>
          <t>James Dear</t>
        </is>
      </c>
      <c r="C48" t="inlineStr">
        <is>
          <t>Destination Bike RT</t>
        </is>
      </c>
      <c r="D48" t="inlineStr">
        <is>
          <t>194</t>
        </is>
      </c>
      <c r="E48" s="2">
        <f>HYPERLINK("https://www.britishcycling.org.uk/points?person_id=71029&amp;year=2024&amp;type=national&amp;d=6","Results")</f>
        <v/>
      </c>
    </row>
    <row r="49">
      <c r="A49" t="inlineStr">
        <is>
          <t>48</t>
        </is>
      </c>
      <c r="B49" t="inlineStr">
        <is>
          <t>Steve Jones</t>
        </is>
      </c>
      <c r="C49" t="inlineStr">
        <is>
          <t>MVSenders</t>
        </is>
      </c>
      <c r="D49" t="inlineStr">
        <is>
          <t>188</t>
        </is>
      </c>
      <c r="E49" s="2">
        <f>HYPERLINK("https://www.britishcycling.org.uk/points?person_id=1484&amp;year=2024&amp;type=national&amp;d=6","Results")</f>
        <v/>
      </c>
    </row>
    <row r="50">
      <c r="A50" t="inlineStr">
        <is>
          <t>49</t>
        </is>
      </c>
      <c r="B50" t="inlineStr">
        <is>
          <t>Bartlomiej Kieres</t>
        </is>
      </c>
      <c r="C50" t="inlineStr">
        <is>
          <t>Bourne Whls CC</t>
        </is>
      </c>
      <c r="D50" t="inlineStr">
        <is>
          <t>188</t>
        </is>
      </c>
      <c r="E50" s="2">
        <f>HYPERLINK("https://www.britishcycling.org.uk/points?person_id=55360&amp;year=2024&amp;type=national&amp;d=6","Results")</f>
        <v/>
      </c>
    </row>
    <row r="51">
      <c r="A51" t="inlineStr">
        <is>
          <t>50</t>
        </is>
      </c>
      <c r="B51" t="inlineStr">
        <is>
          <t>Peter Mollison</t>
        </is>
      </c>
      <c r="C51" t="inlineStr">
        <is>
          <t>ViCiOUS VELO</t>
        </is>
      </c>
      <c r="D51" t="inlineStr">
        <is>
          <t>188</t>
        </is>
      </c>
      <c r="E51" s="2">
        <f>HYPERLINK("https://www.britishcycling.org.uk/points?person_id=134921&amp;year=2024&amp;type=national&amp;d=6","Results")</f>
        <v/>
      </c>
    </row>
    <row r="52">
      <c r="A52" t="inlineStr">
        <is>
          <t>51</t>
        </is>
      </c>
      <c r="B52" t="inlineStr">
        <is>
          <t>David Beachill</t>
        </is>
      </c>
      <c r="C52" t="inlineStr">
        <is>
          <t>Geared Up RT</t>
        </is>
      </c>
      <c r="D52" t="inlineStr">
        <is>
          <t>182</t>
        </is>
      </c>
      <c r="E52" s="2">
        <f>HYPERLINK("https://www.britishcycling.org.uk/points?person_id=172147&amp;year=2024&amp;type=national&amp;d=6","Results")</f>
        <v/>
      </c>
    </row>
    <row r="53">
      <c r="A53" t="inlineStr">
        <is>
          <t>52</t>
        </is>
      </c>
      <c r="B53" t="inlineStr">
        <is>
          <t>Stuart Pryce</t>
        </is>
      </c>
      <c r="C53" t="inlineStr">
        <is>
          <t>DAP Cycling Club</t>
        </is>
      </c>
      <c r="D53" t="inlineStr">
        <is>
          <t>180</t>
        </is>
      </c>
      <c r="E53" s="2">
        <f>HYPERLINK("https://www.britishcycling.org.uk/points?person_id=63785&amp;year=2024&amp;type=national&amp;d=6","Results")</f>
        <v/>
      </c>
    </row>
    <row r="54">
      <c r="A54" t="inlineStr">
        <is>
          <t>53</t>
        </is>
      </c>
      <c r="B54" t="inlineStr">
        <is>
          <t>Philip Bray</t>
        </is>
      </c>
      <c r="C54" t="inlineStr">
        <is>
          <t>Plymouth Corinthian CC</t>
        </is>
      </c>
      <c r="D54" t="inlineStr">
        <is>
          <t>174</t>
        </is>
      </c>
      <c r="E54" s="2">
        <f>HYPERLINK("https://www.britishcycling.org.uk/points?person_id=377891&amp;year=2024&amp;type=national&amp;d=6","Results")</f>
        <v/>
      </c>
    </row>
    <row r="55">
      <c r="A55" t="inlineStr">
        <is>
          <t>54</t>
        </is>
      </c>
      <c r="B55" t="inlineStr">
        <is>
          <t>Andy Hoskins</t>
        </is>
      </c>
      <c r="C55" t="inlineStr">
        <is>
          <t>Cardiff JIF</t>
        </is>
      </c>
      <c r="D55" t="inlineStr">
        <is>
          <t>172</t>
        </is>
      </c>
      <c r="E55" s="2">
        <f>HYPERLINK("https://www.britishcycling.org.uk/points?person_id=3520&amp;year=2024&amp;type=national&amp;d=6","Results")</f>
        <v/>
      </c>
    </row>
    <row r="56">
      <c r="A56" t="inlineStr">
        <is>
          <t>55</t>
        </is>
      </c>
      <c r="B56" t="inlineStr">
        <is>
          <t>Tony McCullagh</t>
        </is>
      </c>
      <c r="C56" t="inlineStr">
        <is>
          <t>Darlington CC</t>
        </is>
      </c>
      <c r="D56" t="inlineStr">
        <is>
          <t>172</t>
        </is>
      </c>
      <c r="E56" s="2">
        <f>HYPERLINK("https://www.britishcycling.org.uk/points?person_id=51591&amp;year=2024&amp;type=national&amp;d=6","Results")</f>
        <v/>
      </c>
    </row>
    <row r="57">
      <c r="A57" t="inlineStr">
        <is>
          <t>56</t>
        </is>
      </c>
      <c r="B57" t="inlineStr">
        <is>
          <t>Dominic Righini-Brand</t>
        </is>
      </c>
      <c r="C57" t="inlineStr">
        <is>
          <t>Spalding Cycling Club</t>
        </is>
      </c>
      <c r="D57" t="inlineStr">
        <is>
          <t>172</t>
        </is>
      </c>
      <c r="E57" s="2">
        <f>HYPERLINK("https://www.britishcycling.org.uk/points?person_id=961191&amp;year=2024&amp;type=national&amp;d=6","Results")</f>
        <v/>
      </c>
    </row>
    <row r="58">
      <c r="A58" t="inlineStr">
        <is>
          <t>57</t>
        </is>
      </c>
      <c r="B58" t="inlineStr">
        <is>
          <t>Ben Vaughan</t>
        </is>
      </c>
      <c r="C58" t="inlineStr">
        <is>
          <t>Velo Club Lincoln</t>
        </is>
      </c>
      <c r="D58" t="inlineStr">
        <is>
          <t>172</t>
        </is>
      </c>
      <c r="E58" s="2">
        <f>HYPERLINK("https://www.britishcycling.org.uk/points?person_id=121254&amp;year=2024&amp;type=national&amp;d=6","Results")</f>
        <v/>
      </c>
    </row>
    <row r="59">
      <c r="A59" t="inlineStr">
        <is>
          <t>58</t>
        </is>
      </c>
      <c r="B59" t="inlineStr">
        <is>
          <t>Tim Doole</t>
        </is>
      </c>
      <c r="C59" t="inlineStr">
        <is>
          <t>Cowley Road Condors</t>
        </is>
      </c>
      <c r="D59" t="inlineStr">
        <is>
          <t>171</t>
        </is>
      </c>
      <c r="E59" s="2">
        <f>HYPERLINK("https://www.britishcycling.org.uk/points?person_id=222719&amp;year=2024&amp;type=national&amp;d=6","Results")</f>
        <v/>
      </c>
    </row>
    <row r="60">
      <c r="A60" t="inlineStr">
        <is>
          <t>59</t>
        </is>
      </c>
      <c r="B60" t="inlineStr">
        <is>
          <t>Tom Budden</t>
        </is>
      </c>
      <c r="C60" t="inlineStr">
        <is>
          <t>Sotonia CC</t>
        </is>
      </c>
      <c r="D60" t="inlineStr">
        <is>
          <t>169</t>
        </is>
      </c>
      <c r="E60" s="2">
        <f>HYPERLINK("https://www.britishcycling.org.uk/points?person_id=34557&amp;year=2024&amp;type=national&amp;d=6","Results")</f>
        <v/>
      </c>
    </row>
    <row r="61">
      <c r="A61" t="inlineStr">
        <is>
          <t>60</t>
        </is>
      </c>
      <c r="B61" t="inlineStr">
        <is>
          <t>Iain Robertson</t>
        </is>
      </c>
      <c r="C61" t="inlineStr">
        <is>
          <t>Epic Orange Race Team</t>
        </is>
      </c>
      <c r="D61" t="inlineStr">
        <is>
          <t>166</t>
        </is>
      </c>
      <c r="E61" s="2">
        <f>HYPERLINK("https://www.britishcycling.org.uk/points?person_id=631552&amp;year=2024&amp;type=national&amp;d=6","Results")</f>
        <v/>
      </c>
    </row>
    <row r="62">
      <c r="A62" t="inlineStr">
        <is>
          <t>61</t>
        </is>
      </c>
      <c r="B62" t="inlineStr">
        <is>
          <t>Bill Bell</t>
        </is>
      </c>
      <c r="C62" t="inlineStr">
        <is>
          <t>Bigfoot CC</t>
        </is>
      </c>
      <c r="D62" t="inlineStr">
        <is>
          <t>165</t>
        </is>
      </c>
      <c r="E62" s="2">
        <f>HYPERLINK("https://www.britishcycling.org.uk/points?person_id=369502&amp;year=2024&amp;type=national&amp;d=6","Results")</f>
        <v/>
      </c>
    </row>
    <row r="63">
      <c r="A63" t="inlineStr">
        <is>
          <t>62</t>
        </is>
      </c>
      <c r="B63" t="inlineStr">
        <is>
          <t>Stuart Gough</t>
        </is>
      </c>
      <c r="C63" t="inlineStr">
        <is>
          <t>Ride Revolution Coaching</t>
        </is>
      </c>
      <c r="D63" t="inlineStr">
        <is>
          <t>165</t>
        </is>
      </c>
      <c r="E63" s="2">
        <f>HYPERLINK("https://www.britishcycling.org.uk/points?person_id=873269&amp;year=2024&amp;type=national&amp;d=6","Results")</f>
        <v/>
      </c>
    </row>
    <row r="64">
      <c r="A64" t="inlineStr">
        <is>
          <t>63</t>
        </is>
      </c>
      <c r="B64" t="inlineStr">
        <is>
          <t>Dave Powell</t>
        </is>
      </c>
      <c r="C64" t="inlineStr">
        <is>
          <t>Horwich CC</t>
        </is>
      </c>
      <c r="D64" t="inlineStr">
        <is>
          <t>164</t>
        </is>
      </c>
      <c r="E64" s="2">
        <f>HYPERLINK("https://www.britishcycling.org.uk/points?person_id=169425&amp;year=2024&amp;type=national&amp;d=6","Results")</f>
        <v/>
      </c>
    </row>
    <row r="65">
      <c r="A65" t="inlineStr">
        <is>
          <t>64</t>
        </is>
      </c>
      <c r="B65" t="inlineStr">
        <is>
          <t>Mark Powell</t>
        </is>
      </c>
      <c r="C65" t="inlineStr">
        <is>
          <t>Stowmarket &amp; District CC</t>
        </is>
      </c>
      <c r="D65" t="inlineStr">
        <is>
          <t>159</t>
        </is>
      </c>
      <c r="E65" s="2">
        <f>HYPERLINK("https://www.britishcycling.org.uk/points?person_id=3235&amp;year=2024&amp;type=national&amp;d=6","Results")</f>
        <v/>
      </c>
    </row>
    <row r="66">
      <c r="A66" t="inlineStr">
        <is>
          <t>65</t>
        </is>
      </c>
      <c r="B66" t="inlineStr">
        <is>
          <t>Scott Smith</t>
        </is>
      </c>
      <c r="C66" t="inlineStr"/>
      <c r="D66" t="inlineStr">
        <is>
          <t>159</t>
        </is>
      </c>
      <c r="E66" s="2">
        <f>HYPERLINK("https://www.britishcycling.org.uk/points?person_id=150658&amp;year=2024&amp;type=national&amp;d=6","Results")</f>
        <v/>
      </c>
    </row>
    <row r="67">
      <c r="A67" t="inlineStr">
        <is>
          <t>66</t>
        </is>
      </c>
      <c r="B67" t="inlineStr">
        <is>
          <t>Robert Ditcham</t>
        </is>
      </c>
      <c r="C67" t="inlineStr">
        <is>
          <t>Handsling Racing</t>
        </is>
      </c>
      <c r="D67" t="inlineStr">
        <is>
          <t>157</t>
        </is>
      </c>
      <c r="E67" s="2">
        <f>HYPERLINK("https://www.britishcycling.org.uk/points?person_id=815796&amp;year=2024&amp;type=national&amp;d=6","Results")</f>
        <v/>
      </c>
    </row>
    <row r="68">
      <c r="A68" t="inlineStr">
        <is>
          <t>67</t>
        </is>
      </c>
      <c r="B68" t="inlineStr">
        <is>
          <t>Nicholas Charlton-Smith</t>
        </is>
      </c>
      <c r="C68" t="inlineStr">
        <is>
          <t>Nova Race Team</t>
        </is>
      </c>
      <c r="D68" t="inlineStr">
        <is>
          <t>154</t>
        </is>
      </c>
      <c r="E68" s="2">
        <f>HYPERLINK("https://www.britishcycling.org.uk/points?person_id=704077&amp;year=2024&amp;type=national&amp;d=6","Results")</f>
        <v/>
      </c>
    </row>
    <row r="69">
      <c r="A69" t="inlineStr">
        <is>
          <t>68</t>
        </is>
      </c>
      <c r="B69" t="inlineStr">
        <is>
          <t>Brian McCardle</t>
        </is>
      </c>
      <c r="C69" t="inlineStr">
        <is>
          <t>Glasgow United CC</t>
        </is>
      </c>
      <c r="D69" t="inlineStr">
        <is>
          <t>152</t>
        </is>
      </c>
      <c r="E69" s="2">
        <f>HYPERLINK("https://www.britishcycling.org.uk/points?person_id=103651&amp;year=2024&amp;type=national&amp;d=6","Results")</f>
        <v/>
      </c>
    </row>
    <row r="70">
      <c r="A70" t="inlineStr">
        <is>
          <t>69</t>
        </is>
      </c>
      <c r="B70" t="inlineStr">
        <is>
          <t>Paul Upton</t>
        </is>
      </c>
      <c r="C70" t="inlineStr"/>
      <c r="D70" t="inlineStr">
        <is>
          <t>150</t>
        </is>
      </c>
      <c r="E70" s="2">
        <f>HYPERLINK("https://www.britishcycling.org.uk/points?person_id=427709&amp;year=2024&amp;type=national&amp;d=6","Results")</f>
        <v/>
      </c>
    </row>
    <row r="71">
      <c r="A71" t="inlineStr">
        <is>
          <t>70</t>
        </is>
      </c>
      <c r="B71" t="inlineStr">
        <is>
          <t>David Mottram</t>
        </is>
      </c>
      <c r="C71" t="inlineStr">
        <is>
          <t>Fietsen Tempo</t>
        </is>
      </c>
      <c r="D71" t="inlineStr">
        <is>
          <t>146</t>
        </is>
      </c>
      <c r="E71" s="2">
        <f>HYPERLINK("https://www.britishcycling.org.uk/points?person_id=1024048&amp;year=2024&amp;type=national&amp;d=6","Results")</f>
        <v/>
      </c>
    </row>
    <row r="72">
      <c r="A72" t="inlineStr">
        <is>
          <t>71</t>
        </is>
      </c>
      <c r="B72" t="inlineStr">
        <is>
          <t>Leigh Smith</t>
        </is>
      </c>
      <c r="C72" t="inlineStr">
        <is>
          <t>Equipe Velo</t>
        </is>
      </c>
      <c r="D72" t="inlineStr">
        <is>
          <t>146</t>
        </is>
      </c>
      <c r="E72" s="2">
        <f>HYPERLINK("https://www.britishcycling.org.uk/points?person_id=38453&amp;year=2024&amp;type=national&amp;d=6","Results")</f>
        <v/>
      </c>
    </row>
    <row r="73">
      <c r="A73" t="inlineStr">
        <is>
          <t>72</t>
        </is>
      </c>
      <c r="B73" t="inlineStr">
        <is>
          <t>Richard Morgan</t>
        </is>
      </c>
      <c r="C73" t="inlineStr">
        <is>
          <t>Barrow Central Wheelers</t>
        </is>
      </c>
      <c r="D73" t="inlineStr">
        <is>
          <t>145</t>
        </is>
      </c>
      <c r="E73" s="2">
        <f>HYPERLINK("https://www.britishcycling.org.uk/points?person_id=741520&amp;year=2024&amp;type=national&amp;d=6","Results")</f>
        <v/>
      </c>
    </row>
    <row r="74">
      <c r="A74" t="inlineStr">
        <is>
          <t>73</t>
        </is>
      </c>
      <c r="B74" t="inlineStr">
        <is>
          <t>Ian Nixon</t>
        </is>
      </c>
      <c r="C74" t="inlineStr">
        <is>
          <t>Albarosa Cycling Club</t>
        </is>
      </c>
      <c r="D74" t="inlineStr">
        <is>
          <t>145</t>
        </is>
      </c>
      <c r="E74" s="2">
        <f>HYPERLINK("https://www.britishcycling.org.uk/points?person_id=445545&amp;year=2024&amp;type=national&amp;d=6","Results")</f>
        <v/>
      </c>
    </row>
    <row r="75">
      <c r="A75" t="inlineStr">
        <is>
          <t>74</t>
        </is>
      </c>
      <c r="B75" t="inlineStr">
        <is>
          <t>Dan Braid</t>
        </is>
      </c>
      <c r="C75" t="inlineStr">
        <is>
          <t>ViCiOUS VELO</t>
        </is>
      </c>
      <c r="D75" t="inlineStr">
        <is>
          <t>142</t>
        </is>
      </c>
      <c r="E75" s="2">
        <f>HYPERLINK("https://www.britishcycling.org.uk/points?person_id=124610&amp;year=2024&amp;type=national&amp;d=6","Results")</f>
        <v/>
      </c>
    </row>
    <row r="76">
      <c r="A76" t="inlineStr">
        <is>
          <t>75</t>
        </is>
      </c>
      <c r="B76" t="inlineStr">
        <is>
          <t>Chris Breedon</t>
        </is>
      </c>
      <c r="C76" t="inlineStr">
        <is>
          <t>Harrogate Nova CC</t>
        </is>
      </c>
      <c r="D76" t="inlineStr">
        <is>
          <t>142</t>
        </is>
      </c>
      <c r="E76" s="2">
        <f>HYPERLINK("https://www.britishcycling.org.uk/points?person_id=985893&amp;year=2024&amp;type=national&amp;d=6","Results")</f>
        <v/>
      </c>
    </row>
    <row r="77">
      <c r="A77" t="inlineStr">
        <is>
          <t>76</t>
        </is>
      </c>
      <c r="B77" t="inlineStr">
        <is>
          <t>Stuart Wearmouth</t>
        </is>
      </c>
      <c r="C77" t="inlineStr">
        <is>
          <t>Zurbaran Racing</t>
        </is>
      </c>
      <c r="D77" t="inlineStr">
        <is>
          <t>142</t>
        </is>
      </c>
      <c r="E77" s="2">
        <f>HYPERLINK("https://www.britishcycling.org.uk/points?person_id=77629&amp;year=2024&amp;type=national&amp;d=6","Results")</f>
        <v/>
      </c>
    </row>
    <row r="78">
      <c r="A78" t="inlineStr">
        <is>
          <t>77</t>
        </is>
      </c>
      <c r="B78" t="inlineStr">
        <is>
          <t>Gavin Fowler</t>
        </is>
      </c>
      <c r="C78" t="inlineStr">
        <is>
          <t>Team Trident</t>
        </is>
      </c>
      <c r="D78" t="inlineStr">
        <is>
          <t>140</t>
        </is>
      </c>
      <c r="E78" s="2">
        <f>HYPERLINK("https://www.britishcycling.org.uk/points?person_id=617933&amp;year=2024&amp;type=national&amp;d=6","Results")</f>
        <v/>
      </c>
    </row>
    <row r="79">
      <c r="A79" t="inlineStr">
        <is>
          <t>78</t>
        </is>
      </c>
      <c r="B79" t="inlineStr">
        <is>
          <t>Jonathan Gregory</t>
        </is>
      </c>
      <c r="C79" t="inlineStr"/>
      <c r="D79" t="inlineStr">
        <is>
          <t>140</t>
        </is>
      </c>
      <c r="E79" s="2">
        <f>HYPERLINK("https://www.britishcycling.org.uk/points?person_id=107184&amp;year=2024&amp;type=national&amp;d=6","Results")</f>
        <v/>
      </c>
    </row>
    <row r="80">
      <c r="A80" t="inlineStr">
        <is>
          <t>79</t>
        </is>
      </c>
      <c r="B80" t="inlineStr">
        <is>
          <t>Matthew Lewis</t>
        </is>
      </c>
      <c r="C80" t="inlineStr">
        <is>
          <t>Pontypool RCC</t>
        </is>
      </c>
      <c r="D80" t="inlineStr">
        <is>
          <t>140</t>
        </is>
      </c>
      <c r="E80" s="2">
        <f>HYPERLINK("https://www.britishcycling.org.uk/points?person_id=13187&amp;year=2024&amp;type=national&amp;d=6","Results")</f>
        <v/>
      </c>
    </row>
    <row r="81">
      <c r="A81" t="inlineStr">
        <is>
          <t>80</t>
        </is>
      </c>
      <c r="B81" t="inlineStr">
        <is>
          <t>David Ogden</t>
        </is>
      </c>
      <c r="C81" t="inlineStr">
        <is>
          <t>Deeside Thistle CC</t>
        </is>
      </c>
      <c r="D81" t="inlineStr">
        <is>
          <t>138</t>
        </is>
      </c>
      <c r="E81" s="2">
        <f>HYPERLINK("https://www.britishcycling.org.uk/points?person_id=856762&amp;year=2024&amp;type=national&amp;d=6","Results")</f>
        <v/>
      </c>
    </row>
    <row r="82">
      <c r="A82" t="inlineStr">
        <is>
          <t>81</t>
        </is>
      </c>
      <c r="B82" t="inlineStr">
        <is>
          <t>Richard Warner</t>
        </is>
      </c>
      <c r="C82" t="inlineStr">
        <is>
          <t>GS Henley</t>
        </is>
      </c>
      <c r="D82" t="inlineStr">
        <is>
          <t>138</t>
        </is>
      </c>
      <c r="E82" s="2">
        <f>HYPERLINK("https://www.britishcycling.org.uk/points?person_id=43047&amp;year=2024&amp;type=national&amp;d=6","Results")</f>
        <v/>
      </c>
    </row>
    <row r="83">
      <c r="A83" t="inlineStr">
        <is>
          <t>82</t>
        </is>
      </c>
      <c r="B83" t="inlineStr">
        <is>
          <t>Dave Wilby</t>
        </is>
      </c>
      <c r="C83" t="inlineStr">
        <is>
          <t>Shibden Cycling Club</t>
        </is>
      </c>
      <c r="D83" t="inlineStr">
        <is>
          <t>136</t>
        </is>
      </c>
      <c r="E83" s="2">
        <f>HYPERLINK("https://www.britishcycling.org.uk/points?person_id=342331&amp;year=2024&amp;type=national&amp;d=6","Results")</f>
        <v/>
      </c>
    </row>
    <row r="84">
      <c r="A84" t="inlineStr">
        <is>
          <t>83</t>
        </is>
      </c>
      <c r="B84" t="inlineStr">
        <is>
          <t>Paul Colling</t>
        </is>
      </c>
      <c r="C84" t="inlineStr">
        <is>
          <t>Shibden Cycling Club</t>
        </is>
      </c>
      <c r="D84" t="inlineStr">
        <is>
          <t>130</t>
        </is>
      </c>
      <c r="E84" s="2">
        <f>HYPERLINK("https://www.britishcycling.org.uk/points?person_id=232665&amp;year=2024&amp;type=national&amp;d=6","Results")</f>
        <v/>
      </c>
    </row>
    <row r="85">
      <c r="A85" t="inlineStr">
        <is>
          <t>84</t>
        </is>
      </c>
      <c r="B85" t="inlineStr">
        <is>
          <t>Steven Whitehurst</t>
        </is>
      </c>
      <c r="C85" t="inlineStr">
        <is>
          <t>Reflex Nopinz</t>
        </is>
      </c>
      <c r="D85" t="inlineStr">
        <is>
          <t>130</t>
        </is>
      </c>
      <c r="E85" s="2">
        <f>HYPERLINK("https://www.britishcycling.org.uk/points?person_id=23707&amp;year=2024&amp;type=national&amp;d=6","Results")</f>
        <v/>
      </c>
    </row>
    <row r="86">
      <c r="A86" t="inlineStr">
        <is>
          <t>85</t>
        </is>
      </c>
      <c r="B86" t="inlineStr">
        <is>
          <t>Paul Morris</t>
        </is>
      </c>
      <c r="C86" t="inlineStr">
        <is>
          <t>Fareham Wheelers Cycling Club</t>
        </is>
      </c>
      <c r="D86" t="inlineStr">
        <is>
          <t>129</t>
        </is>
      </c>
      <c r="E86" s="2">
        <f>HYPERLINK("https://www.britishcycling.org.uk/points?person_id=307362&amp;year=2024&amp;type=national&amp;d=6","Results")</f>
        <v/>
      </c>
    </row>
    <row r="87">
      <c r="A87" t="inlineStr">
        <is>
          <t>86</t>
        </is>
      </c>
      <c r="B87" t="inlineStr">
        <is>
          <t>Richard Foxton</t>
        </is>
      </c>
      <c r="C87" t="inlineStr">
        <is>
          <t>Berwick Wheelers CC</t>
        </is>
      </c>
      <c r="D87" t="inlineStr">
        <is>
          <t>128</t>
        </is>
      </c>
      <c r="E87" s="2">
        <f>HYPERLINK("https://www.britishcycling.org.uk/points?person_id=952337&amp;year=2024&amp;type=national&amp;d=6","Results")</f>
        <v/>
      </c>
    </row>
    <row r="88">
      <c r="A88" t="inlineStr">
        <is>
          <t>87</t>
        </is>
      </c>
      <c r="B88" t="inlineStr">
        <is>
          <t>Philip Hunt</t>
        </is>
      </c>
      <c r="C88" t="inlineStr">
        <is>
          <t>Droitwich Cycling Club</t>
        </is>
      </c>
      <c r="D88" t="inlineStr">
        <is>
          <t>125</t>
        </is>
      </c>
      <c r="E88" s="2">
        <f>HYPERLINK("https://www.britishcycling.org.uk/points?person_id=103608&amp;year=2024&amp;type=national&amp;d=6","Results")</f>
        <v/>
      </c>
    </row>
    <row r="89">
      <c r="A89" t="inlineStr">
        <is>
          <t>88</t>
        </is>
      </c>
      <c r="B89" t="inlineStr">
        <is>
          <t>Richard Dearing</t>
        </is>
      </c>
      <c r="C89" t="inlineStr">
        <is>
          <t>Wilsons Wheels Race Team</t>
        </is>
      </c>
      <c r="D89" t="inlineStr">
        <is>
          <t>122</t>
        </is>
      </c>
      <c r="E89" s="2">
        <f>HYPERLINK("https://www.britishcycling.org.uk/points?person_id=262069&amp;year=2024&amp;type=national&amp;d=6","Results")</f>
        <v/>
      </c>
    </row>
    <row r="90">
      <c r="A90" t="inlineStr">
        <is>
          <t>89</t>
        </is>
      </c>
      <c r="B90" t="inlineStr">
        <is>
          <t>Simon Askham</t>
        </is>
      </c>
      <c r="C90" t="inlineStr">
        <is>
          <t>Welland Valley CC</t>
        </is>
      </c>
      <c r="D90" t="inlineStr">
        <is>
          <t>121</t>
        </is>
      </c>
      <c r="E90" s="2">
        <f>HYPERLINK("https://www.britishcycling.org.uk/points?person_id=207233&amp;year=2024&amp;type=national&amp;d=6","Results")</f>
        <v/>
      </c>
    </row>
    <row r="91">
      <c r="A91" t="inlineStr">
        <is>
          <t>90</t>
        </is>
      </c>
      <c r="B91" t="inlineStr">
        <is>
          <t>Stewart Phipps</t>
        </is>
      </c>
      <c r="C91" t="inlineStr">
        <is>
          <t>Bromsgrove Olympique CC</t>
        </is>
      </c>
      <c r="D91" t="inlineStr">
        <is>
          <t>121</t>
        </is>
      </c>
      <c r="E91" s="2">
        <f>HYPERLINK("https://www.britishcycling.org.uk/points?person_id=794278&amp;year=2024&amp;type=national&amp;d=6","Results")</f>
        <v/>
      </c>
    </row>
    <row r="92">
      <c r="A92" t="inlineStr">
        <is>
          <t>91</t>
        </is>
      </c>
      <c r="B92" t="inlineStr">
        <is>
          <t>David Lines</t>
        </is>
      </c>
      <c r="C92" t="inlineStr">
        <is>
          <t>Wheelbase CabTech Castelli</t>
        </is>
      </c>
      <c r="D92" t="inlineStr">
        <is>
          <t>120</t>
        </is>
      </c>
      <c r="E92" s="2">
        <f>HYPERLINK("https://www.britishcycling.org.uk/points?person_id=27371&amp;year=2024&amp;type=national&amp;d=6","Results")</f>
        <v/>
      </c>
    </row>
    <row r="93">
      <c r="A93" t="inlineStr">
        <is>
          <t>92</t>
        </is>
      </c>
      <c r="B93" t="inlineStr">
        <is>
          <t>Jonathan Williams</t>
        </is>
      </c>
      <c r="C93" t="inlineStr">
        <is>
          <t>Swansea Wheelers CC</t>
        </is>
      </c>
      <c r="D93" t="inlineStr">
        <is>
          <t>116</t>
        </is>
      </c>
      <c r="E93" s="2">
        <f>HYPERLINK("https://www.britishcycling.org.uk/points?person_id=67596&amp;year=2024&amp;type=national&amp;d=6","Results")</f>
        <v/>
      </c>
    </row>
    <row r="94">
      <c r="A94" t="inlineStr">
        <is>
          <t>93</t>
        </is>
      </c>
      <c r="B94" t="inlineStr">
        <is>
          <t>Matt J Smith</t>
        </is>
      </c>
      <c r="C94" t="inlineStr">
        <is>
          <t>Beeline Bicycles - Sorb</t>
        </is>
      </c>
      <c r="D94" t="inlineStr">
        <is>
          <t>114</t>
        </is>
      </c>
      <c r="E94" s="2">
        <f>HYPERLINK("https://www.britishcycling.org.uk/points?person_id=458925&amp;year=2024&amp;type=national&amp;d=6","Results")</f>
        <v/>
      </c>
    </row>
    <row r="95">
      <c r="A95" t="inlineStr">
        <is>
          <t>94</t>
        </is>
      </c>
      <c r="B95" t="inlineStr">
        <is>
          <t>Peter Lown</t>
        </is>
      </c>
      <c r="C95" t="inlineStr">
        <is>
          <t>High Wycombe Cycling Club</t>
        </is>
      </c>
      <c r="D95" t="inlineStr">
        <is>
          <t>111</t>
        </is>
      </c>
      <c r="E95" s="2">
        <f>HYPERLINK("https://www.britishcycling.org.uk/points?person_id=620009&amp;year=2024&amp;type=national&amp;d=6","Results")</f>
        <v/>
      </c>
    </row>
    <row r="96">
      <c r="A96" t="inlineStr">
        <is>
          <t>95</t>
        </is>
      </c>
      <c r="B96" t="inlineStr">
        <is>
          <t>Louis Tindell</t>
        </is>
      </c>
      <c r="C96" t="inlineStr">
        <is>
          <t>Sprockets Cycle Club</t>
        </is>
      </c>
      <c r="D96" t="inlineStr">
        <is>
          <t>110</t>
        </is>
      </c>
      <c r="E96" s="2">
        <f>HYPERLINK("https://www.britishcycling.org.uk/points?person_id=989100&amp;year=2024&amp;type=national&amp;d=6","Results")</f>
        <v/>
      </c>
    </row>
    <row r="97">
      <c r="A97" t="inlineStr">
        <is>
          <t>96</t>
        </is>
      </c>
      <c r="B97" t="inlineStr">
        <is>
          <t>Daniel Booth</t>
        </is>
      </c>
      <c r="C97" t="inlineStr"/>
      <c r="D97" t="inlineStr">
        <is>
          <t>108</t>
        </is>
      </c>
      <c r="E97" s="2">
        <f>HYPERLINK("https://www.britishcycling.org.uk/points?person_id=69692&amp;year=2024&amp;type=national&amp;d=6","Results")</f>
        <v/>
      </c>
    </row>
    <row r="98">
      <c r="A98" t="inlineStr">
        <is>
          <t>97</t>
        </is>
      </c>
      <c r="B98" t="inlineStr">
        <is>
          <t>David Roper</t>
        </is>
      </c>
      <c r="C98" t="inlineStr">
        <is>
          <t>ATP Performance</t>
        </is>
      </c>
      <c r="D98" t="inlineStr">
        <is>
          <t>108</t>
        </is>
      </c>
      <c r="E98" s="2">
        <f>HYPERLINK("https://www.britishcycling.org.uk/points?person_id=25660&amp;year=2024&amp;type=national&amp;d=6","Results")</f>
        <v/>
      </c>
    </row>
    <row r="99">
      <c r="A99" t="inlineStr">
        <is>
          <t>98</t>
        </is>
      </c>
      <c r="B99" t="inlineStr">
        <is>
          <t>Gary Fendick</t>
        </is>
      </c>
      <c r="C99" t="inlineStr">
        <is>
          <t>Velouse Flyers</t>
        </is>
      </c>
      <c r="D99" t="inlineStr">
        <is>
          <t>106</t>
        </is>
      </c>
      <c r="E99" s="2">
        <f>HYPERLINK("https://www.britishcycling.org.uk/points?person_id=1025045&amp;year=2024&amp;type=national&amp;d=6","Results")</f>
        <v/>
      </c>
    </row>
    <row r="100">
      <c r="A100" t="inlineStr">
        <is>
          <t>99</t>
        </is>
      </c>
      <c r="B100" t="inlineStr">
        <is>
          <t>Euan Hamilton-Rigg</t>
        </is>
      </c>
      <c r="C100" t="inlineStr">
        <is>
          <t>Fietsclub Balerno</t>
        </is>
      </c>
      <c r="D100" t="inlineStr">
        <is>
          <t>106</t>
        </is>
      </c>
      <c r="E100" s="2">
        <f>HYPERLINK("https://www.britishcycling.org.uk/points?person_id=244391&amp;year=2024&amp;type=national&amp;d=6","Results")</f>
        <v/>
      </c>
    </row>
    <row r="101">
      <c r="A101" t="inlineStr">
        <is>
          <t>100</t>
        </is>
      </c>
      <c r="B101" t="inlineStr">
        <is>
          <t>Jamie Murray</t>
        </is>
      </c>
      <c r="C101" t="inlineStr">
        <is>
          <t>Peterborough Cycling Club</t>
        </is>
      </c>
      <c r="D101" t="inlineStr">
        <is>
          <t>104</t>
        </is>
      </c>
      <c r="E101" s="2">
        <f>HYPERLINK("https://www.britishcycling.org.uk/points?person_id=666591&amp;year=2024&amp;type=national&amp;d=6","Results")</f>
        <v/>
      </c>
    </row>
    <row r="102">
      <c r="A102" t="inlineStr">
        <is>
          <t>101</t>
        </is>
      </c>
      <c r="B102" t="inlineStr">
        <is>
          <t>Benjamin Hallam</t>
        </is>
      </c>
      <c r="C102" t="inlineStr">
        <is>
          <t>Cambridge Junior Cycling Club</t>
        </is>
      </c>
      <c r="D102" t="inlineStr">
        <is>
          <t>102</t>
        </is>
      </c>
      <c r="E102" s="2">
        <f>HYPERLINK("https://www.britishcycling.org.uk/points?person_id=38343&amp;year=2024&amp;type=national&amp;d=6","Results")</f>
        <v/>
      </c>
    </row>
    <row r="103">
      <c r="A103" t="inlineStr">
        <is>
          <t>102</t>
        </is>
      </c>
      <c r="B103" t="inlineStr">
        <is>
          <t>Duncan Putman</t>
        </is>
      </c>
      <c r="C103" t="inlineStr">
        <is>
          <t>Derby Mercury RC</t>
        </is>
      </c>
      <c r="D103" t="inlineStr">
        <is>
          <t>102</t>
        </is>
      </c>
      <c r="E103" s="2">
        <f>HYPERLINK("https://www.britishcycling.org.uk/points?person_id=8731&amp;year=2024&amp;type=national&amp;d=6","Results")</f>
        <v/>
      </c>
    </row>
    <row r="104">
      <c r="A104" t="inlineStr">
        <is>
          <t>103</t>
        </is>
      </c>
      <c r="B104" t="inlineStr">
        <is>
          <t>Kev Tonner</t>
        </is>
      </c>
      <c r="C104" t="inlineStr">
        <is>
          <t>Sarum Velo</t>
        </is>
      </c>
      <c r="D104" t="inlineStr">
        <is>
          <t>99</t>
        </is>
      </c>
      <c r="E104" s="2">
        <f>HYPERLINK("https://www.britishcycling.org.uk/points?person_id=432032&amp;year=2024&amp;type=national&amp;d=6","Results")</f>
        <v/>
      </c>
    </row>
    <row r="105">
      <c r="A105" t="inlineStr">
        <is>
          <t>104</t>
        </is>
      </c>
      <c r="B105" t="inlineStr">
        <is>
          <t>Lee Sanderson</t>
        </is>
      </c>
      <c r="C105" t="inlineStr">
        <is>
          <t>VC Azzurri</t>
        </is>
      </c>
      <c r="D105" t="inlineStr">
        <is>
          <t>97</t>
        </is>
      </c>
      <c r="E105" s="2">
        <f>HYPERLINK("https://www.britishcycling.org.uk/points?person_id=68898&amp;year=2024&amp;type=national&amp;d=6","Results")</f>
        <v/>
      </c>
    </row>
    <row r="106">
      <c r="A106" t="inlineStr">
        <is>
          <t>105</t>
        </is>
      </c>
      <c r="B106" t="inlineStr">
        <is>
          <t>William Jones</t>
        </is>
      </c>
      <c r="C106" t="inlineStr">
        <is>
          <t>Cowley Road Condors</t>
        </is>
      </c>
      <c r="D106" t="inlineStr">
        <is>
          <t>96</t>
        </is>
      </c>
      <c r="E106" s="2">
        <f>HYPERLINK("https://www.britishcycling.org.uk/points?person_id=36631&amp;year=2024&amp;type=national&amp;d=6","Results")</f>
        <v/>
      </c>
    </row>
    <row r="107">
      <c r="A107" t="inlineStr">
        <is>
          <t>106</t>
        </is>
      </c>
      <c r="B107" t="inlineStr">
        <is>
          <t>Simon Dodd</t>
        </is>
      </c>
      <c r="C107" t="inlineStr">
        <is>
          <t>Wheal Velocity</t>
        </is>
      </c>
      <c r="D107" t="inlineStr">
        <is>
          <t>94</t>
        </is>
      </c>
      <c r="E107" s="2">
        <f>HYPERLINK("https://www.britishcycling.org.uk/points?person_id=1099153&amp;year=2024&amp;type=national&amp;d=6","Results")</f>
        <v/>
      </c>
    </row>
    <row r="108">
      <c r="A108" t="inlineStr">
        <is>
          <t>107</t>
        </is>
      </c>
      <c r="B108" t="inlineStr">
        <is>
          <t>Paul Elcock</t>
        </is>
      </c>
      <c r="C108" t="inlineStr">
        <is>
          <t>Beeline Bicycles - Sorb</t>
        </is>
      </c>
      <c r="D108" t="inlineStr">
        <is>
          <t>94</t>
        </is>
      </c>
      <c r="E108" s="2">
        <f>HYPERLINK("https://www.britishcycling.org.uk/points?person_id=37607&amp;year=2024&amp;type=national&amp;d=6","Results")</f>
        <v/>
      </c>
    </row>
    <row r="109">
      <c r="A109" t="inlineStr">
        <is>
          <t>108</t>
        </is>
      </c>
      <c r="B109" t="inlineStr">
        <is>
          <t>Kevin Fearnshaw</t>
        </is>
      </c>
      <c r="C109" t="inlineStr">
        <is>
          <t>Ilkeston Cycle Club</t>
        </is>
      </c>
      <c r="D109" t="inlineStr">
        <is>
          <t>94</t>
        </is>
      </c>
      <c r="E109" s="2">
        <f>HYPERLINK("https://www.britishcycling.org.uk/points?person_id=64342&amp;year=2024&amp;type=national&amp;d=6","Results")</f>
        <v/>
      </c>
    </row>
    <row r="110">
      <c r="A110" t="inlineStr">
        <is>
          <t>109</t>
        </is>
      </c>
      <c r="B110" t="inlineStr">
        <is>
          <t>Edward Burkitt</t>
        </is>
      </c>
      <c r="C110" t="inlineStr">
        <is>
          <t>Lincoln Wheelers CC</t>
        </is>
      </c>
      <c r="D110" t="inlineStr">
        <is>
          <t>93</t>
        </is>
      </c>
      <c r="E110" s="2">
        <f>HYPERLINK("https://www.britishcycling.org.uk/points?person_id=468865&amp;year=2024&amp;type=national&amp;d=6","Results")</f>
        <v/>
      </c>
    </row>
    <row r="111">
      <c r="A111" t="inlineStr">
        <is>
          <t>110</t>
        </is>
      </c>
      <c r="B111" t="inlineStr">
        <is>
          <t>Alex McNicol</t>
        </is>
      </c>
      <c r="C111" t="inlineStr"/>
      <c r="D111" t="inlineStr">
        <is>
          <t>92</t>
        </is>
      </c>
      <c r="E111" s="2">
        <f>HYPERLINK("https://www.britishcycling.org.uk/points?person_id=29049&amp;year=2024&amp;type=national&amp;d=6","Results")</f>
        <v/>
      </c>
    </row>
    <row r="112">
      <c r="A112" t="inlineStr">
        <is>
          <t>111</t>
        </is>
      </c>
      <c r="B112" t="inlineStr">
        <is>
          <t>Oliver Mytton</t>
        </is>
      </c>
      <c r="C112" t="inlineStr">
        <is>
          <t>Verulam - reallymoving.com</t>
        </is>
      </c>
      <c r="D112" t="inlineStr">
        <is>
          <t>92</t>
        </is>
      </c>
      <c r="E112" s="2">
        <f>HYPERLINK("https://www.britishcycling.org.uk/points?person_id=23232&amp;year=2024&amp;type=national&amp;d=6","Results")</f>
        <v/>
      </c>
    </row>
    <row r="113">
      <c r="A113" t="inlineStr">
        <is>
          <t>112</t>
        </is>
      </c>
      <c r="B113" t="inlineStr">
        <is>
          <t>James Plumb</t>
        </is>
      </c>
      <c r="C113" t="inlineStr">
        <is>
          <t>Velo Club Venta</t>
        </is>
      </c>
      <c r="D113" t="inlineStr">
        <is>
          <t>90</t>
        </is>
      </c>
      <c r="E113" s="2">
        <f>HYPERLINK("https://www.britishcycling.org.uk/points?person_id=65833&amp;year=2024&amp;type=national&amp;d=6","Results")</f>
        <v/>
      </c>
    </row>
    <row r="114">
      <c r="A114" t="inlineStr">
        <is>
          <t>113</t>
        </is>
      </c>
      <c r="B114" t="inlineStr">
        <is>
          <t>Philip Smith</t>
        </is>
      </c>
      <c r="C114" t="inlineStr"/>
      <c r="D114" t="inlineStr">
        <is>
          <t>90</t>
        </is>
      </c>
      <c r="E114" s="2">
        <f>HYPERLINK("https://www.britishcycling.org.uk/points?person_id=33888&amp;year=2024&amp;type=national&amp;d=6","Results")</f>
        <v/>
      </c>
    </row>
    <row r="115">
      <c r="A115" t="inlineStr">
        <is>
          <t>114</t>
        </is>
      </c>
      <c r="B115" t="inlineStr">
        <is>
          <t>Simon Tabiner</t>
        </is>
      </c>
      <c r="C115" t="inlineStr">
        <is>
          <t>Aylsham Road Club</t>
        </is>
      </c>
      <c r="D115" t="inlineStr">
        <is>
          <t>90</t>
        </is>
      </c>
      <c r="E115" s="2">
        <f>HYPERLINK("https://www.britishcycling.org.uk/points?person_id=196165&amp;year=2024&amp;type=national&amp;d=6","Results")</f>
        <v/>
      </c>
    </row>
    <row r="116">
      <c r="A116" t="inlineStr">
        <is>
          <t>115</t>
        </is>
      </c>
      <c r="B116" t="inlineStr">
        <is>
          <t>Jon Hare</t>
        </is>
      </c>
      <c r="C116" t="inlineStr">
        <is>
          <t>Exeter Wheelers</t>
        </is>
      </c>
      <c r="D116" t="inlineStr">
        <is>
          <t>89</t>
        </is>
      </c>
      <c r="E116" s="2">
        <f>HYPERLINK("https://www.britishcycling.org.uk/points?person_id=264703&amp;year=2024&amp;type=national&amp;d=6","Results")</f>
        <v/>
      </c>
    </row>
    <row r="117">
      <c r="A117" t="inlineStr">
        <is>
          <t>116</t>
        </is>
      </c>
      <c r="B117" t="inlineStr">
        <is>
          <t>James Teagle</t>
        </is>
      </c>
      <c r="C117" t="inlineStr">
        <is>
          <t>Yorkshire Road Club</t>
        </is>
      </c>
      <c r="D117" t="inlineStr">
        <is>
          <t>86</t>
        </is>
      </c>
      <c r="E117" s="2">
        <f>HYPERLINK("https://www.britishcycling.org.uk/points?person_id=21282&amp;year=2024&amp;type=national&amp;d=6","Results")</f>
        <v/>
      </c>
    </row>
    <row r="118">
      <c r="A118" t="inlineStr">
        <is>
          <t>117</t>
        </is>
      </c>
      <c r="B118" t="inlineStr">
        <is>
          <t>Oliver Humphreys</t>
        </is>
      </c>
      <c r="C118" t="inlineStr">
        <is>
          <t>Haus Race Team</t>
        </is>
      </c>
      <c r="D118" t="inlineStr">
        <is>
          <t>85</t>
        </is>
      </c>
      <c r="E118" s="2">
        <f>HYPERLINK("https://www.britishcycling.org.uk/points?person_id=210527&amp;year=2024&amp;type=national&amp;d=6","Results")</f>
        <v/>
      </c>
    </row>
    <row r="119">
      <c r="A119" t="inlineStr">
        <is>
          <t>118</t>
        </is>
      </c>
      <c r="B119" t="inlineStr">
        <is>
          <t>Stuart Spies</t>
        </is>
      </c>
      <c r="C119" t="inlineStr">
        <is>
          <t>CHAINGANG Racing Team</t>
        </is>
      </c>
      <c r="D119" t="inlineStr">
        <is>
          <t>83</t>
        </is>
      </c>
      <c r="E119" s="2">
        <f>HYPERLINK("https://www.britishcycling.org.uk/points?person_id=14850&amp;year=2024&amp;type=national&amp;d=6","Results")</f>
        <v/>
      </c>
    </row>
    <row r="120">
      <c r="A120" t="inlineStr">
        <is>
          <t>119</t>
        </is>
      </c>
      <c r="B120" t="inlineStr">
        <is>
          <t>Ben Eedy</t>
        </is>
      </c>
      <c r="C120" t="inlineStr">
        <is>
          <t>Team Empella</t>
        </is>
      </c>
      <c r="D120" t="inlineStr">
        <is>
          <t>81</t>
        </is>
      </c>
      <c r="E120" s="2">
        <f>HYPERLINK("https://www.britishcycling.org.uk/points?person_id=47407&amp;year=2024&amp;type=national&amp;d=6","Results")</f>
        <v/>
      </c>
    </row>
    <row r="121">
      <c r="A121" t="inlineStr">
        <is>
          <t>120</t>
        </is>
      </c>
      <c r="B121" t="inlineStr">
        <is>
          <t>Andrew Morris</t>
        </is>
      </c>
      <c r="C121" t="inlineStr">
        <is>
          <t>Mudbath CC</t>
        </is>
      </c>
      <c r="D121" t="inlineStr">
        <is>
          <t>81</t>
        </is>
      </c>
      <c r="E121" s="2">
        <f>HYPERLINK("https://www.britishcycling.org.uk/points?person_id=325726&amp;year=2024&amp;type=national&amp;d=6","Results")</f>
        <v/>
      </c>
    </row>
    <row r="122">
      <c r="A122" t="inlineStr">
        <is>
          <t>121</t>
        </is>
      </c>
      <c r="B122" t="inlineStr">
        <is>
          <t>Richard Wiggins</t>
        </is>
      </c>
      <c r="C122" t="inlineStr">
        <is>
          <t>Ziggurat Racing</t>
        </is>
      </c>
      <c r="D122" t="inlineStr">
        <is>
          <t>81</t>
        </is>
      </c>
      <c r="E122" s="2">
        <f>HYPERLINK("https://www.britishcycling.org.uk/points?person_id=588679&amp;year=2024&amp;type=national&amp;d=6","Results")</f>
        <v/>
      </c>
    </row>
    <row r="123">
      <c r="A123" t="inlineStr">
        <is>
          <t>122</t>
        </is>
      </c>
      <c r="B123" t="inlineStr">
        <is>
          <t>Eddie Addis</t>
        </is>
      </c>
      <c r="C123" t="inlineStr">
        <is>
          <t>RT23</t>
        </is>
      </c>
      <c r="D123" t="inlineStr">
        <is>
          <t>80</t>
        </is>
      </c>
      <c r="E123" s="2">
        <f>HYPERLINK("https://www.britishcycling.org.uk/points?person_id=79356&amp;year=2024&amp;type=national&amp;d=6","Results")</f>
        <v/>
      </c>
    </row>
    <row r="124">
      <c r="A124" t="inlineStr">
        <is>
          <t>123</t>
        </is>
      </c>
      <c r="B124" t="inlineStr">
        <is>
          <t>Richard Bowditch</t>
        </is>
      </c>
      <c r="C124" t="inlineStr">
        <is>
          <t>Congleton CC</t>
        </is>
      </c>
      <c r="D124" t="inlineStr">
        <is>
          <t>80</t>
        </is>
      </c>
      <c r="E124" s="2">
        <f>HYPERLINK("https://www.britishcycling.org.uk/points?person_id=33372&amp;year=2024&amp;type=national&amp;d=6","Results")</f>
        <v/>
      </c>
    </row>
    <row r="125">
      <c r="A125" t="inlineStr">
        <is>
          <t>124</t>
        </is>
      </c>
      <c r="B125" t="inlineStr">
        <is>
          <t>Philip Hinch</t>
        </is>
      </c>
      <c r="C125" t="inlineStr">
        <is>
          <t>Aerologic RT</t>
        </is>
      </c>
      <c r="D125" t="inlineStr">
        <is>
          <t>80</t>
        </is>
      </c>
      <c r="E125" s="2">
        <f>HYPERLINK("https://www.britishcycling.org.uk/points?person_id=74028&amp;year=2024&amp;type=national&amp;d=6","Results")</f>
        <v/>
      </c>
    </row>
    <row r="126">
      <c r="A126" t="inlineStr">
        <is>
          <t>125</t>
        </is>
      </c>
      <c r="B126" t="inlineStr">
        <is>
          <t>David Lynes</t>
        </is>
      </c>
      <c r="C126" t="inlineStr">
        <is>
          <t>Droitwich Cycling Club</t>
        </is>
      </c>
      <c r="D126" t="inlineStr">
        <is>
          <t>80</t>
        </is>
      </c>
      <c r="E126" s="2">
        <f>HYPERLINK("https://www.britishcycling.org.uk/points?person_id=1008387&amp;year=2024&amp;type=national&amp;d=6","Results")</f>
        <v/>
      </c>
    </row>
    <row r="127">
      <c r="A127" t="inlineStr">
        <is>
          <t>126</t>
        </is>
      </c>
      <c r="B127" t="inlineStr">
        <is>
          <t>Andrew Baum</t>
        </is>
      </c>
      <c r="C127" t="inlineStr">
        <is>
          <t>Pontypool RCC</t>
        </is>
      </c>
      <c r="D127" t="inlineStr">
        <is>
          <t>79</t>
        </is>
      </c>
      <c r="E127" s="2">
        <f>HYPERLINK("https://www.britishcycling.org.uk/points?person_id=61742&amp;year=2024&amp;type=national&amp;d=6","Results")</f>
        <v/>
      </c>
    </row>
    <row r="128">
      <c r="A128" t="inlineStr">
        <is>
          <t>127</t>
        </is>
      </c>
      <c r="B128" t="inlineStr">
        <is>
          <t>Daniel Northover</t>
        </is>
      </c>
      <c r="C128" t="inlineStr">
        <is>
          <t>Southborough &amp; District Whls</t>
        </is>
      </c>
      <c r="D128" t="inlineStr">
        <is>
          <t>78</t>
        </is>
      </c>
      <c r="E128" s="2">
        <f>HYPERLINK("https://www.britishcycling.org.uk/points?person_id=49660&amp;year=2024&amp;type=national&amp;d=6","Results")</f>
        <v/>
      </c>
    </row>
    <row r="129">
      <c r="A129" t="inlineStr">
        <is>
          <t>128</t>
        </is>
      </c>
      <c r="B129" t="inlineStr">
        <is>
          <t>Daniel Varley</t>
        </is>
      </c>
      <c r="C129" t="inlineStr"/>
      <c r="D129" t="inlineStr">
        <is>
          <t>78</t>
        </is>
      </c>
      <c r="E129" s="2">
        <f>HYPERLINK("https://www.britishcycling.org.uk/points?person_id=6545&amp;year=2024&amp;type=national&amp;d=6","Results")</f>
        <v/>
      </c>
    </row>
    <row r="130">
      <c r="A130" t="inlineStr">
        <is>
          <t>129</t>
        </is>
      </c>
      <c r="B130" t="inlineStr">
        <is>
          <t>John MacDonald</t>
        </is>
      </c>
      <c r="C130" t="inlineStr">
        <is>
          <t>Chorlton Velo</t>
        </is>
      </c>
      <c r="D130" t="inlineStr">
        <is>
          <t>76</t>
        </is>
      </c>
      <c r="E130" s="2">
        <f>HYPERLINK("https://www.britishcycling.org.uk/points?person_id=290678&amp;year=2024&amp;type=national&amp;d=6","Results")</f>
        <v/>
      </c>
    </row>
    <row r="131">
      <c r="A131" t="inlineStr">
        <is>
          <t>130</t>
        </is>
      </c>
      <c r="B131" t="inlineStr">
        <is>
          <t>Nigel Wood</t>
        </is>
      </c>
      <c r="C131" t="inlineStr">
        <is>
          <t>Kendal Cycle Club</t>
        </is>
      </c>
      <c r="D131" t="inlineStr">
        <is>
          <t>75</t>
        </is>
      </c>
      <c r="E131" s="2">
        <f>HYPERLINK("https://www.britishcycling.org.uk/points?person_id=471945&amp;year=2024&amp;type=national&amp;d=6","Results")</f>
        <v/>
      </c>
    </row>
    <row r="132">
      <c r="A132" t="inlineStr">
        <is>
          <t>131</t>
        </is>
      </c>
      <c r="B132" t="inlineStr">
        <is>
          <t>Richard Knowles</t>
        </is>
      </c>
      <c r="C132" t="inlineStr"/>
      <c r="D132" t="inlineStr">
        <is>
          <t>74</t>
        </is>
      </c>
      <c r="E132" s="2">
        <f>HYPERLINK("https://www.britishcycling.org.uk/points?person_id=128523&amp;year=2024&amp;type=national&amp;d=6","Results")</f>
        <v/>
      </c>
    </row>
    <row r="133">
      <c r="A133" t="inlineStr">
        <is>
          <t>132</t>
        </is>
      </c>
      <c r="B133" t="inlineStr">
        <is>
          <t>Jonathan Sheasby</t>
        </is>
      </c>
      <c r="C133" t="inlineStr">
        <is>
          <t>Numplumz Mountainbikers</t>
        </is>
      </c>
      <c r="D133" t="inlineStr">
        <is>
          <t>74</t>
        </is>
      </c>
      <c r="E133" s="2">
        <f>HYPERLINK("https://www.britishcycling.org.uk/points?person_id=354935&amp;year=2024&amp;type=national&amp;d=6","Results")</f>
        <v/>
      </c>
    </row>
    <row r="134">
      <c r="A134" t="inlineStr">
        <is>
          <t>133</t>
        </is>
      </c>
      <c r="B134" t="inlineStr">
        <is>
          <t>Josh Gregory</t>
        </is>
      </c>
      <c r="C134" t="inlineStr">
        <is>
          <t>VC Deal</t>
        </is>
      </c>
      <c r="D134" t="inlineStr">
        <is>
          <t>73</t>
        </is>
      </c>
      <c r="E134" s="2">
        <f>HYPERLINK("https://www.britishcycling.org.uk/points?person_id=59611&amp;year=2024&amp;type=national&amp;d=6","Results")</f>
        <v/>
      </c>
    </row>
    <row r="135">
      <c r="A135" t="inlineStr">
        <is>
          <t>134</t>
        </is>
      </c>
      <c r="B135" t="inlineStr">
        <is>
          <t>Nathan Miller</t>
        </is>
      </c>
      <c r="C135" t="inlineStr">
        <is>
          <t>Derby Mercury RC</t>
        </is>
      </c>
      <c r="D135" t="inlineStr">
        <is>
          <t>73</t>
        </is>
      </c>
      <c r="E135" s="2">
        <f>HYPERLINK("https://www.britishcycling.org.uk/points?person_id=29529&amp;year=2024&amp;type=national&amp;d=6","Results")</f>
        <v/>
      </c>
    </row>
    <row r="136">
      <c r="A136" t="inlineStr">
        <is>
          <t>135</t>
        </is>
      </c>
      <c r="B136" t="inlineStr">
        <is>
          <t>Michael Durr</t>
        </is>
      </c>
      <c r="C136" t="inlineStr"/>
      <c r="D136" t="inlineStr">
        <is>
          <t>72</t>
        </is>
      </c>
      <c r="E136" s="2">
        <f>HYPERLINK("https://www.britishcycling.org.uk/points?person_id=541340&amp;year=2024&amp;type=national&amp;d=6","Results")</f>
        <v/>
      </c>
    </row>
    <row r="137">
      <c r="A137" t="inlineStr">
        <is>
          <t>136</t>
        </is>
      </c>
      <c r="B137" t="inlineStr">
        <is>
          <t>Miles Earl</t>
        </is>
      </c>
      <c r="C137" t="inlineStr">
        <is>
          <t>Plymouth Corinthian CC</t>
        </is>
      </c>
      <c r="D137" t="inlineStr">
        <is>
          <t>72</t>
        </is>
      </c>
      <c r="E137" s="2">
        <f>HYPERLINK("https://www.britishcycling.org.uk/points?person_id=118982&amp;year=2024&amp;type=national&amp;d=6","Results")</f>
        <v/>
      </c>
    </row>
    <row r="138">
      <c r="A138" t="inlineStr">
        <is>
          <t>137</t>
        </is>
      </c>
      <c r="B138" t="inlineStr">
        <is>
          <t>Stephen Gibson</t>
        </is>
      </c>
      <c r="C138" t="inlineStr">
        <is>
          <t>4T+ Cyclopark</t>
        </is>
      </c>
      <c r="D138" t="inlineStr">
        <is>
          <t>72</t>
        </is>
      </c>
      <c r="E138" s="2">
        <f>HYPERLINK("https://www.britishcycling.org.uk/points?person_id=325174&amp;year=2024&amp;type=national&amp;d=6","Results")</f>
        <v/>
      </c>
    </row>
    <row r="139">
      <c r="A139" t="inlineStr">
        <is>
          <t>138</t>
        </is>
      </c>
      <c r="B139" t="inlineStr">
        <is>
          <t>Steve Pugh</t>
        </is>
      </c>
      <c r="C139" t="inlineStr">
        <is>
          <t>One Life Racing (Hexham)</t>
        </is>
      </c>
      <c r="D139" t="inlineStr">
        <is>
          <t>72</t>
        </is>
      </c>
      <c r="E139" s="2">
        <f>HYPERLINK("https://www.britishcycling.org.uk/points?person_id=30189&amp;year=2024&amp;type=national&amp;d=6","Results")</f>
        <v/>
      </c>
    </row>
    <row r="140">
      <c r="A140" t="inlineStr">
        <is>
          <t>139</t>
        </is>
      </c>
      <c r="B140" t="inlineStr">
        <is>
          <t>Adam Sainsbury</t>
        </is>
      </c>
      <c r="C140" t="inlineStr">
        <is>
          <t>Exeter Wheelers</t>
        </is>
      </c>
      <c r="D140" t="inlineStr">
        <is>
          <t>71</t>
        </is>
      </c>
      <c r="E140" s="2">
        <f>HYPERLINK("https://www.britishcycling.org.uk/points?person_id=125980&amp;year=2024&amp;type=national&amp;d=6","Results")</f>
        <v/>
      </c>
    </row>
    <row r="141">
      <c r="A141" t="inlineStr">
        <is>
          <t>140</t>
        </is>
      </c>
      <c r="B141" t="inlineStr">
        <is>
          <t>Gareth Solomon</t>
        </is>
      </c>
      <c r="C141" t="inlineStr"/>
      <c r="D141" t="inlineStr">
        <is>
          <t>71</t>
        </is>
      </c>
      <c r="E141" s="2">
        <f>HYPERLINK("https://www.britishcycling.org.uk/points?person_id=1016751&amp;year=2024&amp;type=national&amp;d=6","Results")</f>
        <v/>
      </c>
    </row>
    <row r="142">
      <c r="A142" t="inlineStr">
        <is>
          <t>141</t>
        </is>
      </c>
      <c r="B142" t="inlineStr">
        <is>
          <t>Mike Buntin</t>
        </is>
      </c>
      <c r="C142" t="inlineStr"/>
      <c r="D142" t="inlineStr">
        <is>
          <t>69</t>
        </is>
      </c>
      <c r="E142" s="2">
        <f>HYPERLINK("https://www.britishcycling.org.uk/points?person_id=312670&amp;year=2024&amp;type=national&amp;d=6","Results")</f>
        <v/>
      </c>
    </row>
    <row r="143">
      <c r="A143" t="inlineStr">
        <is>
          <t>142</t>
        </is>
      </c>
      <c r="B143" t="inlineStr">
        <is>
          <t>Steven Burton</t>
        </is>
      </c>
      <c r="C143" t="inlineStr">
        <is>
          <t>Lichfield City CC</t>
        </is>
      </c>
      <c r="D143" t="inlineStr">
        <is>
          <t>69</t>
        </is>
      </c>
      <c r="E143" s="2">
        <f>HYPERLINK("https://www.britishcycling.org.uk/points?person_id=492042&amp;year=2024&amp;type=national&amp;d=6","Results")</f>
        <v/>
      </c>
    </row>
    <row r="144">
      <c r="A144" t="inlineStr">
        <is>
          <t>143</t>
        </is>
      </c>
      <c r="B144" t="inlineStr">
        <is>
          <t>Keith Watson</t>
        </is>
      </c>
      <c r="C144" t="inlineStr">
        <is>
          <t>VC Deal</t>
        </is>
      </c>
      <c r="D144" t="inlineStr">
        <is>
          <t>69</t>
        </is>
      </c>
      <c r="E144" s="2">
        <f>HYPERLINK("https://www.britishcycling.org.uk/points?person_id=248933&amp;year=2024&amp;type=national&amp;d=6","Results")</f>
        <v/>
      </c>
    </row>
    <row r="145">
      <c r="A145" t="inlineStr">
        <is>
          <t>144</t>
        </is>
      </c>
      <c r="B145" t="inlineStr">
        <is>
          <t>David Rose</t>
        </is>
      </c>
      <c r="C145" t="inlineStr"/>
      <c r="D145" t="inlineStr">
        <is>
          <t>68</t>
        </is>
      </c>
      <c r="E145" s="2">
        <f>HYPERLINK("https://www.britishcycling.org.uk/points?person_id=1161608&amp;year=2024&amp;type=national&amp;d=6","Results")</f>
        <v/>
      </c>
    </row>
    <row r="146">
      <c r="A146" t="inlineStr">
        <is>
          <t>145</t>
        </is>
      </c>
      <c r="B146" t="inlineStr">
        <is>
          <t>David Streule</t>
        </is>
      </c>
      <c r="C146" t="inlineStr">
        <is>
          <t>London Dynamo</t>
        </is>
      </c>
      <c r="D146" t="inlineStr">
        <is>
          <t>68</t>
        </is>
      </c>
      <c r="E146" s="2">
        <f>HYPERLINK("https://www.britishcycling.org.uk/points?person_id=56184&amp;year=2024&amp;type=national&amp;d=6","Results")</f>
        <v/>
      </c>
    </row>
    <row r="147">
      <c r="A147" t="inlineStr">
        <is>
          <t>146</t>
        </is>
      </c>
      <c r="B147" t="inlineStr">
        <is>
          <t>Chris Pook</t>
        </is>
      </c>
      <c r="C147" t="inlineStr">
        <is>
          <t>Holohan Coaching Race Team</t>
        </is>
      </c>
      <c r="D147" t="inlineStr">
        <is>
          <t>66</t>
        </is>
      </c>
      <c r="E147" s="2">
        <f>HYPERLINK("https://www.britishcycling.org.uk/points?person_id=133260&amp;year=2024&amp;type=national&amp;d=6","Results")</f>
        <v/>
      </c>
    </row>
    <row r="148">
      <c r="A148" t="inlineStr">
        <is>
          <t>147</t>
        </is>
      </c>
      <c r="B148" t="inlineStr">
        <is>
          <t>Neil Harris</t>
        </is>
      </c>
      <c r="C148" t="inlineStr">
        <is>
          <t>Southborough &amp; District Whls</t>
        </is>
      </c>
      <c r="D148" t="inlineStr">
        <is>
          <t>64</t>
        </is>
      </c>
      <c r="E148" s="2">
        <f>HYPERLINK("https://www.britishcycling.org.uk/points?person_id=43993&amp;year=2024&amp;type=national&amp;d=6","Results")</f>
        <v/>
      </c>
    </row>
    <row r="149">
      <c r="A149" t="inlineStr">
        <is>
          <t>148</t>
        </is>
      </c>
      <c r="B149" t="inlineStr">
        <is>
          <t>Dominic Rorke</t>
        </is>
      </c>
      <c r="C149" t="inlineStr">
        <is>
          <t>Pentland Racers</t>
        </is>
      </c>
      <c r="D149" t="inlineStr">
        <is>
          <t>64</t>
        </is>
      </c>
      <c r="E149" s="2">
        <f>HYPERLINK("https://www.britishcycling.org.uk/points?person_id=524367&amp;year=2024&amp;type=national&amp;d=6","Results")</f>
        <v/>
      </c>
    </row>
    <row r="150">
      <c r="A150" t="inlineStr">
        <is>
          <t>149</t>
        </is>
      </c>
      <c r="B150" t="inlineStr">
        <is>
          <t>Chris Main</t>
        </is>
      </c>
      <c r="C150" t="inlineStr">
        <is>
          <t>Deeside Thistle CC</t>
        </is>
      </c>
      <c r="D150" t="inlineStr">
        <is>
          <t>63</t>
        </is>
      </c>
      <c r="E150" s="2">
        <f>HYPERLINK("https://www.britishcycling.org.uk/points?person_id=410735&amp;year=2024&amp;type=national&amp;d=6","Results")</f>
        <v/>
      </c>
    </row>
    <row r="151">
      <c r="A151" t="inlineStr">
        <is>
          <t>150</t>
        </is>
      </c>
      <c r="B151" t="inlineStr">
        <is>
          <t>Andrew Morrow</t>
        </is>
      </c>
      <c r="C151" t="inlineStr">
        <is>
          <t>Nottingham Clarion CC</t>
        </is>
      </c>
      <c r="D151" t="inlineStr">
        <is>
          <t>63</t>
        </is>
      </c>
      <c r="E151" s="2">
        <f>HYPERLINK("https://www.britishcycling.org.uk/points?person_id=1129824&amp;year=2024&amp;type=national&amp;d=6","Results")</f>
        <v/>
      </c>
    </row>
    <row r="152">
      <c r="A152" t="inlineStr">
        <is>
          <t>151</t>
        </is>
      </c>
      <c r="B152" t="inlineStr">
        <is>
          <t>Karl Norfolk</t>
        </is>
      </c>
      <c r="C152" t="inlineStr">
        <is>
          <t>Pedalon.co.uk</t>
        </is>
      </c>
      <c r="D152" t="inlineStr">
        <is>
          <t>63</t>
        </is>
      </c>
      <c r="E152" s="2">
        <f>HYPERLINK("https://www.britishcycling.org.uk/points?person_id=77447&amp;year=2024&amp;type=national&amp;d=6","Results")</f>
        <v/>
      </c>
    </row>
    <row r="153">
      <c r="A153" t="inlineStr">
        <is>
          <t>152</t>
        </is>
      </c>
      <c r="B153" t="inlineStr">
        <is>
          <t>Paul Daniels</t>
        </is>
      </c>
      <c r="C153" t="inlineStr">
        <is>
          <t>Royal Leamington Spa CC (RLSCC)</t>
        </is>
      </c>
      <c r="D153" t="inlineStr">
        <is>
          <t>62</t>
        </is>
      </c>
      <c r="E153" s="2">
        <f>HYPERLINK("https://www.britishcycling.org.uk/points?person_id=654668&amp;year=2024&amp;type=national&amp;d=6","Results")</f>
        <v/>
      </c>
    </row>
    <row r="154">
      <c r="A154" t="inlineStr">
        <is>
          <t>153</t>
        </is>
      </c>
      <c r="B154" t="inlineStr">
        <is>
          <t>Philip Deacon</t>
        </is>
      </c>
      <c r="C154" t="inlineStr">
        <is>
          <t>Bradford on Avon</t>
        </is>
      </c>
      <c r="D154" t="inlineStr">
        <is>
          <t>60</t>
        </is>
      </c>
      <c r="E154" s="2">
        <f>HYPERLINK("https://www.britishcycling.org.uk/points?person_id=132347&amp;year=2024&amp;type=national&amp;d=6","Results")</f>
        <v/>
      </c>
    </row>
    <row r="155">
      <c r="A155" t="inlineStr">
        <is>
          <t>154</t>
        </is>
      </c>
      <c r="B155" t="inlineStr">
        <is>
          <t>Nicholas English</t>
        </is>
      </c>
      <c r="C155" t="inlineStr">
        <is>
          <t>AeroCoach</t>
        </is>
      </c>
      <c r="D155" t="inlineStr">
        <is>
          <t>60</t>
        </is>
      </c>
      <c r="E155" s="2">
        <f>HYPERLINK("https://www.britishcycling.org.uk/points?person_id=76915&amp;year=2024&amp;type=national&amp;d=6","Results")</f>
        <v/>
      </c>
    </row>
    <row r="156">
      <c r="A156" t="inlineStr">
        <is>
          <t>155</t>
        </is>
      </c>
      <c r="B156" t="inlineStr">
        <is>
          <t>Lyndon Boyall</t>
        </is>
      </c>
      <c r="C156" t="inlineStr"/>
      <c r="D156" t="inlineStr">
        <is>
          <t>59</t>
        </is>
      </c>
      <c r="E156" s="2">
        <f>HYPERLINK("https://www.britishcycling.org.uk/points?person_id=758389&amp;year=2024&amp;type=national&amp;d=6","Results")</f>
        <v/>
      </c>
    </row>
    <row r="157">
      <c r="A157" t="inlineStr">
        <is>
          <t>156</t>
        </is>
      </c>
      <c r="B157" t="inlineStr">
        <is>
          <t>Peter Drnovsek</t>
        </is>
      </c>
      <c r="C157" t="inlineStr">
        <is>
          <t>Banbury Star CC</t>
        </is>
      </c>
      <c r="D157" t="inlineStr">
        <is>
          <t>59</t>
        </is>
      </c>
      <c r="E157" s="2">
        <f>HYPERLINK("https://www.britishcycling.org.uk/points?person_id=870007&amp;year=2024&amp;type=national&amp;d=6","Results")</f>
        <v/>
      </c>
    </row>
    <row r="158">
      <c r="A158" t="inlineStr">
        <is>
          <t>157</t>
        </is>
      </c>
      <c r="B158" t="inlineStr">
        <is>
          <t>David Read</t>
        </is>
      </c>
      <c r="C158" t="inlineStr"/>
      <c r="D158" t="inlineStr">
        <is>
          <t>59</t>
        </is>
      </c>
      <c r="E158" s="2">
        <f>HYPERLINK("https://www.britishcycling.org.uk/points?person_id=245618&amp;year=2024&amp;type=national&amp;d=6","Results")</f>
        <v/>
      </c>
    </row>
    <row r="159">
      <c r="A159" t="inlineStr">
        <is>
          <t>158</t>
        </is>
      </c>
      <c r="B159" t="inlineStr">
        <is>
          <t>Robert Friel</t>
        </is>
      </c>
      <c r="C159" t="inlineStr">
        <is>
          <t>Vanelli-Project Go</t>
        </is>
      </c>
      <c r="D159" t="inlineStr">
        <is>
          <t>56</t>
        </is>
      </c>
      <c r="E159" s="2">
        <f>HYPERLINK("https://www.britishcycling.org.uk/points?person_id=16993&amp;year=2024&amp;type=national&amp;d=6","Results")</f>
        <v/>
      </c>
    </row>
    <row r="160">
      <c r="A160" t="inlineStr">
        <is>
          <t>159</t>
        </is>
      </c>
      <c r="B160" t="inlineStr">
        <is>
          <t>Lee Perkins</t>
        </is>
      </c>
      <c r="C160" t="inlineStr">
        <is>
          <t>Matlock CC</t>
        </is>
      </c>
      <c r="D160" t="inlineStr">
        <is>
          <t>56</t>
        </is>
      </c>
      <c r="E160" s="2">
        <f>HYPERLINK("https://www.britishcycling.org.uk/points?person_id=44275&amp;year=2024&amp;type=national&amp;d=6","Results")</f>
        <v/>
      </c>
    </row>
    <row r="161">
      <c r="A161" t="inlineStr">
        <is>
          <t>160</t>
        </is>
      </c>
      <c r="B161" t="inlineStr">
        <is>
          <t>Dennis Randell</t>
        </is>
      </c>
      <c r="C161" t="inlineStr">
        <is>
          <t>PDQ Cycle Coaching Property Elite</t>
        </is>
      </c>
      <c r="D161" t="inlineStr">
        <is>
          <t>56</t>
        </is>
      </c>
      <c r="E161" s="2">
        <f>HYPERLINK("https://www.britishcycling.org.uk/points?person_id=766305&amp;year=2024&amp;type=national&amp;d=6","Results")</f>
        <v/>
      </c>
    </row>
    <row r="162">
      <c r="A162" t="inlineStr">
        <is>
          <t>161</t>
        </is>
      </c>
      <c r="B162" t="inlineStr">
        <is>
          <t>Miles Thomas</t>
        </is>
      </c>
      <c r="C162" t="inlineStr">
        <is>
          <t>Handsling Racing</t>
        </is>
      </c>
      <c r="D162" t="inlineStr">
        <is>
          <t>55</t>
        </is>
      </c>
      <c r="E162" s="2">
        <f>HYPERLINK("https://www.britishcycling.org.uk/points?person_id=425670&amp;year=2024&amp;type=national&amp;d=6","Results")</f>
        <v/>
      </c>
    </row>
    <row r="163">
      <c r="A163" t="inlineStr">
        <is>
          <t>162</t>
        </is>
      </c>
      <c r="B163" t="inlineStr">
        <is>
          <t>Mark Thompson</t>
        </is>
      </c>
      <c r="C163" t="inlineStr">
        <is>
          <t>Welland Valley CC</t>
        </is>
      </c>
      <c r="D163" t="inlineStr">
        <is>
          <t>55</t>
        </is>
      </c>
      <c r="E163" s="2">
        <f>HYPERLINK("https://www.britishcycling.org.uk/points?person_id=307880&amp;year=2024&amp;type=national&amp;d=6","Results")</f>
        <v/>
      </c>
    </row>
    <row r="164">
      <c r="A164" t="inlineStr">
        <is>
          <t>163</t>
        </is>
      </c>
      <c r="B164" t="inlineStr">
        <is>
          <t>Andrew Mosley</t>
        </is>
      </c>
      <c r="C164" t="inlineStr">
        <is>
          <t>Lincoln Wheelers CC</t>
        </is>
      </c>
      <c r="D164" t="inlineStr">
        <is>
          <t>53</t>
        </is>
      </c>
      <c r="E164" s="2">
        <f>HYPERLINK("https://www.britishcycling.org.uk/points?person_id=60116&amp;year=2024&amp;type=national&amp;d=6","Results")</f>
        <v/>
      </c>
    </row>
    <row r="165">
      <c r="A165" t="inlineStr">
        <is>
          <t>164</t>
        </is>
      </c>
      <c r="B165" t="inlineStr">
        <is>
          <t>Clive Spicer</t>
        </is>
      </c>
      <c r="C165" t="inlineStr">
        <is>
          <t>Preston Park Youth CC (PPYCC)</t>
        </is>
      </c>
      <c r="D165" t="inlineStr">
        <is>
          <t>53</t>
        </is>
      </c>
      <c r="E165" s="2">
        <f>HYPERLINK("https://www.britishcycling.org.uk/points?person_id=335976&amp;year=2024&amp;type=national&amp;d=6","Results")</f>
        <v/>
      </c>
    </row>
    <row r="166">
      <c r="A166" t="inlineStr">
        <is>
          <t>165</t>
        </is>
      </c>
      <c r="B166" t="inlineStr">
        <is>
          <t>Richard Lewis</t>
        </is>
      </c>
      <c r="C166" t="inlineStr">
        <is>
          <t>Pedalon.co.uk</t>
        </is>
      </c>
      <c r="D166" t="inlineStr">
        <is>
          <t>52</t>
        </is>
      </c>
      <c r="E166" s="2">
        <f>HYPERLINK("https://www.britishcycling.org.uk/points?person_id=8136&amp;year=2024&amp;type=national&amp;d=6","Results")</f>
        <v/>
      </c>
    </row>
    <row r="167">
      <c r="A167" t="inlineStr">
        <is>
          <t>166</t>
        </is>
      </c>
      <c r="B167" t="inlineStr">
        <is>
          <t>David Mirfield</t>
        </is>
      </c>
      <c r="C167" t="inlineStr">
        <is>
          <t>Hope Tech Factory Racing</t>
        </is>
      </c>
      <c r="D167" t="inlineStr">
        <is>
          <t>52</t>
        </is>
      </c>
      <c r="E167" s="2">
        <f>HYPERLINK("https://www.britishcycling.org.uk/points?person_id=17081&amp;year=2024&amp;type=national&amp;d=6","Results")</f>
        <v/>
      </c>
    </row>
    <row r="168">
      <c r="A168" t="inlineStr">
        <is>
          <t>167</t>
        </is>
      </c>
      <c r="B168" t="inlineStr">
        <is>
          <t>Matthew Page</t>
        </is>
      </c>
      <c r="C168" t="inlineStr">
        <is>
          <t>Clwb Seiclo Llanymddyfri</t>
        </is>
      </c>
      <c r="D168" t="inlineStr">
        <is>
          <t>52</t>
        </is>
      </c>
      <c r="E168" s="2">
        <f>HYPERLINK("https://www.britishcycling.org.uk/points?person_id=77266&amp;year=2024&amp;type=national&amp;d=6","Results")</f>
        <v/>
      </c>
    </row>
    <row r="169">
      <c r="A169" t="inlineStr">
        <is>
          <t>168</t>
        </is>
      </c>
      <c r="B169" t="inlineStr">
        <is>
          <t>Gavin Slack</t>
        </is>
      </c>
      <c r="C169" t="inlineStr">
        <is>
          <t>Beacon Wheelers</t>
        </is>
      </c>
      <c r="D169" t="inlineStr">
        <is>
          <t>52</t>
        </is>
      </c>
      <c r="E169" s="2">
        <f>HYPERLINK("https://www.britishcycling.org.uk/points?person_id=281525&amp;year=2024&amp;type=national&amp;d=6","Results")</f>
        <v/>
      </c>
    </row>
    <row r="170">
      <c r="A170" t="inlineStr">
        <is>
          <t>169</t>
        </is>
      </c>
      <c r="B170" t="inlineStr">
        <is>
          <t>Kevin Newlyn</t>
        </is>
      </c>
      <c r="C170" t="inlineStr">
        <is>
          <t>Sussex Revolution Velo Club</t>
        </is>
      </c>
      <c r="D170" t="inlineStr">
        <is>
          <t>50</t>
        </is>
      </c>
      <c r="E170" s="2">
        <f>HYPERLINK("https://www.britishcycling.org.uk/points?person_id=987958&amp;year=2024&amp;type=national&amp;d=6","Results")</f>
        <v/>
      </c>
    </row>
    <row r="171">
      <c r="A171" t="inlineStr">
        <is>
          <t>170</t>
        </is>
      </c>
      <c r="B171" t="inlineStr">
        <is>
          <t>William Davis</t>
        </is>
      </c>
      <c r="C171" t="inlineStr"/>
      <c r="D171" t="inlineStr">
        <is>
          <t>47</t>
        </is>
      </c>
      <c r="E171" s="2">
        <f>HYPERLINK("https://www.britishcycling.org.uk/points?person_id=71510&amp;year=2024&amp;type=national&amp;d=6","Results")</f>
        <v/>
      </c>
    </row>
    <row r="172">
      <c r="A172" t="inlineStr">
        <is>
          <t>171</t>
        </is>
      </c>
      <c r="B172" t="inlineStr">
        <is>
          <t>Simon Patterson</t>
        </is>
      </c>
      <c r="C172" t="inlineStr"/>
      <c r="D172" t="inlineStr">
        <is>
          <t>47</t>
        </is>
      </c>
      <c r="E172" s="2">
        <f>HYPERLINK("https://www.britishcycling.org.uk/points?person_id=957470&amp;year=2024&amp;type=national&amp;d=6","Results")</f>
        <v/>
      </c>
    </row>
    <row r="173">
      <c r="A173" t="inlineStr">
        <is>
          <t>172</t>
        </is>
      </c>
      <c r="B173" t="inlineStr">
        <is>
          <t>Kevin Watkinson</t>
        </is>
      </c>
      <c r="C173" t="inlineStr">
        <is>
          <t>Iceni Velo</t>
        </is>
      </c>
      <c r="D173" t="inlineStr">
        <is>
          <t>47</t>
        </is>
      </c>
      <c r="E173" s="2">
        <f>HYPERLINK("https://www.britishcycling.org.uk/points?person_id=254638&amp;year=2024&amp;type=national&amp;d=6","Results")</f>
        <v/>
      </c>
    </row>
    <row r="174">
      <c r="A174" t="inlineStr">
        <is>
          <t>173</t>
        </is>
      </c>
      <c r="B174" t="inlineStr">
        <is>
          <t>Chris ONeill</t>
        </is>
      </c>
      <c r="C174" t="inlineStr">
        <is>
          <t>Glasgow Nightingale CC</t>
        </is>
      </c>
      <c r="D174" t="inlineStr">
        <is>
          <t>46</t>
        </is>
      </c>
      <c r="E174" s="2">
        <f>HYPERLINK("https://www.britishcycling.org.uk/points?person_id=397860&amp;year=2024&amp;type=national&amp;d=6","Results")</f>
        <v/>
      </c>
    </row>
    <row r="175">
      <c r="A175" t="inlineStr">
        <is>
          <t>174</t>
        </is>
      </c>
      <c r="B175" t="inlineStr">
        <is>
          <t>Simon Arnot</t>
        </is>
      </c>
      <c r="C175" t="inlineStr">
        <is>
          <t>Team Andrew Allan Architecture</t>
        </is>
      </c>
      <c r="D175" t="inlineStr">
        <is>
          <t>45</t>
        </is>
      </c>
      <c r="E175" s="2">
        <f>HYPERLINK("https://www.britishcycling.org.uk/points?person_id=380283&amp;year=2024&amp;type=national&amp;d=6","Results")</f>
        <v/>
      </c>
    </row>
    <row r="176">
      <c r="A176" t="inlineStr">
        <is>
          <t>175</t>
        </is>
      </c>
      <c r="B176" t="inlineStr">
        <is>
          <t>Robert Brown</t>
        </is>
      </c>
      <c r="C176" t="inlineStr">
        <is>
          <t>Manilla Cycling</t>
        </is>
      </c>
      <c r="D176" t="inlineStr">
        <is>
          <t>45</t>
        </is>
      </c>
      <c r="E176" s="2">
        <f>HYPERLINK("https://www.britishcycling.org.uk/points?person_id=567943&amp;year=2024&amp;type=national&amp;d=6","Results")</f>
        <v/>
      </c>
    </row>
    <row r="177">
      <c r="A177" t="inlineStr">
        <is>
          <t>176</t>
        </is>
      </c>
      <c r="B177" t="inlineStr">
        <is>
          <t>Ross Duffield</t>
        </is>
      </c>
      <c r="C177" t="inlineStr">
        <is>
          <t>Cwmcarn Paragon Cycling Club</t>
        </is>
      </c>
      <c r="D177" t="inlineStr">
        <is>
          <t>45</t>
        </is>
      </c>
      <c r="E177" s="2">
        <f>HYPERLINK("https://www.britishcycling.org.uk/points?person_id=602993&amp;year=2024&amp;type=national&amp;d=6","Results")</f>
        <v/>
      </c>
    </row>
    <row r="178">
      <c r="A178" t="inlineStr">
        <is>
          <t>177</t>
        </is>
      </c>
      <c r="B178" t="inlineStr">
        <is>
          <t>Keith Gibson</t>
        </is>
      </c>
      <c r="C178" t="inlineStr">
        <is>
          <t>VC Azzurri</t>
        </is>
      </c>
      <c r="D178" t="inlineStr">
        <is>
          <t>45</t>
        </is>
      </c>
      <c r="E178" s="2">
        <f>HYPERLINK("https://www.britishcycling.org.uk/points?person_id=31066&amp;year=2024&amp;type=national&amp;d=6","Results")</f>
        <v/>
      </c>
    </row>
    <row r="179">
      <c r="A179" t="inlineStr">
        <is>
          <t>178</t>
        </is>
      </c>
      <c r="B179" t="inlineStr">
        <is>
          <t>Stuart Baldwin</t>
        </is>
      </c>
      <c r="C179" t="inlineStr">
        <is>
          <t>CX Cartel</t>
        </is>
      </c>
      <c r="D179" t="inlineStr">
        <is>
          <t>44</t>
        </is>
      </c>
      <c r="E179" s="2">
        <f>HYPERLINK("https://www.britishcycling.org.uk/points?person_id=6766&amp;year=2024&amp;type=national&amp;d=6","Results")</f>
        <v/>
      </c>
    </row>
    <row r="180">
      <c r="A180" t="inlineStr">
        <is>
          <t>179</t>
        </is>
      </c>
      <c r="B180" t="inlineStr">
        <is>
          <t>James Britton</t>
        </is>
      </c>
      <c r="C180" t="inlineStr">
        <is>
          <t>Bristol CX</t>
        </is>
      </c>
      <c r="D180" t="inlineStr">
        <is>
          <t>44</t>
        </is>
      </c>
      <c r="E180" s="2">
        <f>HYPERLINK("https://www.britishcycling.org.uk/points?person_id=49266&amp;year=2024&amp;type=national&amp;d=6","Results")</f>
        <v/>
      </c>
    </row>
    <row r="181">
      <c r="A181" t="inlineStr">
        <is>
          <t>180</t>
        </is>
      </c>
      <c r="B181" t="inlineStr">
        <is>
          <t>David Jarrom</t>
        </is>
      </c>
      <c r="C181" t="inlineStr">
        <is>
          <t>Cardiff Ajax CC</t>
        </is>
      </c>
      <c r="D181" t="inlineStr">
        <is>
          <t>44</t>
        </is>
      </c>
      <c r="E181" s="2">
        <f>HYPERLINK("https://www.britishcycling.org.uk/points?person_id=35806&amp;year=2024&amp;type=national&amp;d=6","Results")</f>
        <v/>
      </c>
    </row>
    <row r="182">
      <c r="A182" t="inlineStr">
        <is>
          <t>181</t>
        </is>
      </c>
      <c r="B182" t="inlineStr">
        <is>
          <t>Matt Lawton</t>
        </is>
      </c>
      <c r="C182" t="inlineStr">
        <is>
          <t>Macclesfield Wheelers</t>
        </is>
      </c>
      <c r="D182" t="inlineStr">
        <is>
          <t>44</t>
        </is>
      </c>
      <c r="E182" s="2">
        <f>HYPERLINK("https://www.britishcycling.org.uk/points?person_id=126705&amp;year=2024&amp;type=national&amp;d=6","Results")</f>
        <v/>
      </c>
    </row>
    <row r="183">
      <c r="A183" t="inlineStr">
        <is>
          <t>182</t>
        </is>
      </c>
      <c r="B183" t="inlineStr">
        <is>
          <t>Gary MacDonald</t>
        </is>
      </c>
      <c r="C183" t="inlineStr">
        <is>
          <t>Nevis Cycles Racing Team</t>
        </is>
      </c>
      <c r="D183" t="inlineStr">
        <is>
          <t>44</t>
        </is>
      </c>
      <c r="E183" s="2">
        <f>HYPERLINK("https://www.britishcycling.org.uk/points?person_id=304599&amp;year=2024&amp;type=national&amp;d=6","Results")</f>
        <v/>
      </c>
    </row>
    <row r="184">
      <c r="A184" t="inlineStr">
        <is>
          <t>183</t>
        </is>
      </c>
      <c r="B184" t="inlineStr">
        <is>
          <t>Paul Beattie</t>
        </is>
      </c>
      <c r="C184" t="inlineStr">
        <is>
          <t>Royal Air Force CA</t>
        </is>
      </c>
      <c r="D184" t="inlineStr">
        <is>
          <t>43</t>
        </is>
      </c>
      <c r="E184" s="2">
        <f>HYPERLINK("https://www.britishcycling.org.uk/points?person_id=211642&amp;year=2024&amp;type=national&amp;d=6","Results")</f>
        <v/>
      </c>
    </row>
    <row r="185">
      <c r="A185" t="inlineStr">
        <is>
          <t>184</t>
        </is>
      </c>
      <c r="B185" t="inlineStr">
        <is>
          <t>Bevan Humphreys</t>
        </is>
      </c>
      <c r="C185" t="inlineStr">
        <is>
          <t>Velo Club Melyd</t>
        </is>
      </c>
      <c r="D185" t="inlineStr">
        <is>
          <t>43</t>
        </is>
      </c>
      <c r="E185" s="2">
        <f>HYPERLINK("https://www.britishcycling.org.uk/points?person_id=106809&amp;year=2024&amp;type=national&amp;d=6","Results")</f>
        <v/>
      </c>
    </row>
    <row r="186">
      <c r="A186" t="inlineStr">
        <is>
          <t>185</t>
        </is>
      </c>
      <c r="B186" t="inlineStr">
        <is>
          <t>Geoffrey Martin</t>
        </is>
      </c>
      <c r="C186" t="inlineStr">
        <is>
          <t>West Lothian Clarion CC</t>
        </is>
      </c>
      <c r="D186" t="inlineStr">
        <is>
          <t>43</t>
        </is>
      </c>
      <c r="E186" s="2">
        <f>HYPERLINK("https://www.britishcycling.org.uk/points?person_id=65064&amp;year=2024&amp;type=national&amp;d=6","Results")</f>
        <v/>
      </c>
    </row>
    <row r="187">
      <c r="A187" t="inlineStr">
        <is>
          <t>186</t>
        </is>
      </c>
      <c r="B187" t="inlineStr">
        <is>
          <t>Fran Rizzuti</t>
        </is>
      </c>
      <c r="C187" t="inlineStr">
        <is>
          <t>Army Cycling Union</t>
        </is>
      </c>
      <c r="D187" t="inlineStr">
        <is>
          <t>43</t>
        </is>
      </c>
      <c r="E187" s="2">
        <f>HYPERLINK("https://www.britishcycling.org.uk/points?person_id=74607&amp;year=2024&amp;type=national&amp;d=6","Results")</f>
        <v/>
      </c>
    </row>
    <row r="188">
      <c r="A188" t="inlineStr">
        <is>
          <t>187</t>
        </is>
      </c>
      <c r="B188" t="inlineStr">
        <is>
          <t>Richard Lloyd</t>
        </is>
      </c>
      <c r="C188" t="inlineStr">
        <is>
          <t>Pontypool RCC</t>
        </is>
      </c>
      <c r="D188" t="inlineStr">
        <is>
          <t>42</t>
        </is>
      </c>
      <c r="E188" s="2">
        <f>HYPERLINK("https://www.britishcycling.org.uk/points?person_id=520222&amp;year=2024&amp;type=national&amp;d=6","Results")</f>
        <v/>
      </c>
    </row>
    <row r="189">
      <c r="A189" t="inlineStr">
        <is>
          <t>188</t>
        </is>
      </c>
      <c r="B189" t="inlineStr">
        <is>
          <t>Martin Quill</t>
        </is>
      </c>
      <c r="C189" t="inlineStr">
        <is>
          <t>Team Senza Limiti</t>
        </is>
      </c>
      <c r="D189" t="inlineStr">
        <is>
          <t>41</t>
        </is>
      </c>
      <c r="E189" s="2">
        <f>HYPERLINK("https://www.britishcycling.org.uk/points?person_id=55487&amp;year=2024&amp;type=national&amp;d=6","Results")</f>
        <v/>
      </c>
    </row>
    <row r="190">
      <c r="A190" t="inlineStr">
        <is>
          <t>189</t>
        </is>
      </c>
      <c r="B190" t="inlineStr">
        <is>
          <t>Mark Smith</t>
        </is>
      </c>
      <c r="C190" t="inlineStr">
        <is>
          <t>North Cheshire Clarion</t>
        </is>
      </c>
      <c r="D190" t="inlineStr">
        <is>
          <t>41</t>
        </is>
      </c>
      <c r="E190" s="2">
        <f>HYPERLINK("https://www.britishcycling.org.uk/points?person_id=1043706&amp;year=2024&amp;type=national&amp;d=6","Results")</f>
        <v/>
      </c>
    </row>
    <row r="191">
      <c r="A191" t="inlineStr">
        <is>
          <t>190</t>
        </is>
      </c>
      <c r="B191" t="inlineStr">
        <is>
          <t>Nathaniel Cooke</t>
        </is>
      </c>
      <c r="C191" t="inlineStr">
        <is>
          <t>Sunday Echappée</t>
        </is>
      </c>
      <c r="D191" t="inlineStr">
        <is>
          <t>40</t>
        </is>
      </c>
      <c r="E191" s="2">
        <f>HYPERLINK("https://www.britishcycling.org.uk/points?person_id=344225&amp;year=2024&amp;type=national&amp;d=6","Results")</f>
        <v/>
      </c>
    </row>
    <row r="192">
      <c r="A192" t="inlineStr">
        <is>
          <t>191</t>
        </is>
      </c>
      <c r="B192" t="inlineStr">
        <is>
          <t>Graeme Cross</t>
        </is>
      </c>
      <c r="C192" t="inlineStr">
        <is>
          <t>META Bike Division</t>
        </is>
      </c>
      <c r="D192" t="inlineStr">
        <is>
          <t>40</t>
        </is>
      </c>
      <c r="E192" s="2">
        <f>HYPERLINK("https://www.britishcycling.org.uk/points?person_id=179039&amp;year=2024&amp;type=national&amp;d=6","Results")</f>
        <v/>
      </c>
    </row>
    <row r="193">
      <c r="A193" t="inlineStr">
        <is>
          <t>192</t>
        </is>
      </c>
      <c r="B193" t="inlineStr">
        <is>
          <t>James Fraser-Moodie</t>
        </is>
      </c>
      <c r="C193" t="inlineStr">
        <is>
          <t>Pedal Power RT</t>
        </is>
      </c>
      <c r="D193" t="inlineStr">
        <is>
          <t>40</t>
        </is>
      </c>
      <c r="E193" s="2">
        <f>HYPERLINK("https://www.britishcycling.org.uk/points?person_id=34166&amp;year=2024&amp;type=national&amp;d=6","Results")</f>
        <v/>
      </c>
    </row>
    <row r="194">
      <c r="A194" t="inlineStr">
        <is>
          <t>193</t>
        </is>
      </c>
      <c r="B194" t="inlineStr">
        <is>
          <t>Bruce Gregory</t>
        </is>
      </c>
      <c r="C194" t="inlineStr">
        <is>
          <t>CTW Racing</t>
        </is>
      </c>
      <c r="D194" t="inlineStr">
        <is>
          <t>40</t>
        </is>
      </c>
      <c r="E194" s="2">
        <f>HYPERLINK("https://www.britishcycling.org.uk/points?person_id=1039604&amp;year=2024&amp;type=national&amp;d=6","Results")</f>
        <v/>
      </c>
    </row>
    <row r="195">
      <c r="A195" t="inlineStr">
        <is>
          <t>194</t>
        </is>
      </c>
      <c r="B195" t="inlineStr">
        <is>
          <t>Mark Hume</t>
        </is>
      </c>
      <c r="C195" t="inlineStr">
        <is>
          <t>Sleaford Wheelers Cycling Club</t>
        </is>
      </c>
      <c r="D195" t="inlineStr">
        <is>
          <t>40</t>
        </is>
      </c>
      <c r="E195" s="2">
        <f>HYPERLINK("https://www.britishcycling.org.uk/points?person_id=776807&amp;year=2024&amp;type=national&amp;d=6","Results")</f>
        <v/>
      </c>
    </row>
    <row r="196">
      <c r="A196" t="inlineStr">
        <is>
          <t>195</t>
        </is>
      </c>
      <c r="B196" t="inlineStr">
        <is>
          <t>Richard Baker</t>
        </is>
      </c>
      <c r="C196" t="inlineStr">
        <is>
          <t>Banbury Star CC</t>
        </is>
      </c>
      <c r="D196" t="inlineStr">
        <is>
          <t>38</t>
        </is>
      </c>
      <c r="E196" s="2">
        <f>HYPERLINK("https://www.britishcycling.org.uk/points?person_id=543526&amp;year=2024&amp;type=national&amp;d=6","Results")</f>
        <v/>
      </c>
    </row>
    <row r="197">
      <c r="A197" t="inlineStr">
        <is>
          <t>196</t>
        </is>
      </c>
      <c r="B197" t="inlineStr">
        <is>
          <t>Richard Betts-Masters</t>
        </is>
      </c>
      <c r="C197" t="inlineStr">
        <is>
          <t>Fenland Clarion CC</t>
        </is>
      </c>
      <c r="D197" t="inlineStr">
        <is>
          <t>38</t>
        </is>
      </c>
      <c r="E197" s="2">
        <f>HYPERLINK("https://www.britishcycling.org.uk/points?person_id=638654&amp;year=2024&amp;type=national&amp;d=6","Results")</f>
        <v/>
      </c>
    </row>
    <row r="198">
      <c r="A198" t="inlineStr">
        <is>
          <t>197</t>
        </is>
      </c>
      <c r="B198" t="inlineStr">
        <is>
          <t>Ben Clarke</t>
        </is>
      </c>
      <c r="C198" t="inlineStr">
        <is>
          <t>Team Tor 2000 Kalas</t>
        </is>
      </c>
      <c r="D198" t="inlineStr">
        <is>
          <t>38</t>
        </is>
      </c>
      <c r="E198" s="2">
        <f>HYPERLINK("https://www.britishcycling.org.uk/points?person_id=843749&amp;year=2024&amp;type=national&amp;d=6","Results")</f>
        <v/>
      </c>
    </row>
    <row r="199">
      <c r="A199" t="inlineStr">
        <is>
          <t>198</t>
        </is>
      </c>
      <c r="B199" t="inlineStr">
        <is>
          <t>Peter Harding</t>
        </is>
      </c>
      <c r="C199" t="inlineStr">
        <is>
          <t>Chelmer CC</t>
        </is>
      </c>
      <c r="D199" t="inlineStr">
        <is>
          <t>38</t>
        </is>
      </c>
      <c r="E199" s="2">
        <f>HYPERLINK("https://www.britishcycling.org.uk/points?person_id=350655&amp;year=2024&amp;type=national&amp;d=6","Results")</f>
        <v/>
      </c>
    </row>
    <row r="200">
      <c r="A200" t="inlineStr">
        <is>
          <t>199</t>
        </is>
      </c>
      <c r="B200" t="inlineStr">
        <is>
          <t>Mike Jefferies</t>
        </is>
      </c>
      <c r="C200" t="inlineStr">
        <is>
          <t>AIMS Cycling</t>
        </is>
      </c>
      <c r="D200" t="inlineStr">
        <is>
          <t>38</t>
        </is>
      </c>
      <c r="E200" s="2">
        <f>HYPERLINK("https://www.britishcycling.org.uk/points?person_id=196466&amp;year=2024&amp;type=national&amp;d=6","Results")</f>
        <v/>
      </c>
    </row>
    <row r="201">
      <c r="A201" t="inlineStr">
        <is>
          <t>200</t>
        </is>
      </c>
      <c r="B201" t="inlineStr">
        <is>
          <t>Steven Wasley</t>
        </is>
      </c>
      <c r="C201" t="inlineStr">
        <is>
          <t>Warwick Lanterne Rouge C.C</t>
        </is>
      </c>
      <c r="D201" t="inlineStr">
        <is>
          <t>38</t>
        </is>
      </c>
      <c r="E201" s="2">
        <f>HYPERLINK("https://www.britishcycling.org.uk/points?person_id=220345&amp;year=2024&amp;type=national&amp;d=6","Results")</f>
        <v/>
      </c>
    </row>
    <row r="202">
      <c r="A202" t="inlineStr">
        <is>
          <t>201</t>
        </is>
      </c>
      <c r="B202" t="inlineStr">
        <is>
          <t>Michael Cowland</t>
        </is>
      </c>
      <c r="C202" t="inlineStr">
        <is>
          <t>Kettering CC</t>
        </is>
      </c>
      <c r="D202" t="inlineStr">
        <is>
          <t>37</t>
        </is>
      </c>
      <c r="E202" s="2">
        <f>HYPERLINK("https://www.britishcycling.org.uk/points?person_id=47765&amp;year=2024&amp;type=national&amp;d=6","Results")</f>
        <v/>
      </c>
    </row>
    <row r="203">
      <c r="A203" t="inlineStr">
        <is>
          <t>202</t>
        </is>
      </c>
      <c r="B203" t="inlineStr">
        <is>
          <t>Robert Jennings</t>
        </is>
      </c>
      <c r="C203" t="inlineStr">
        <is>
          <t>Clancy Briggs Cycling Academy</t>
        </is>
      </c>
      <c r="D203" t="inlineStr">
        <is>
          <t>36</t>
        </is>
      </c>
      <c r="E203" s="2">
        <f>HYPERLINK("https://www.britishcycling.org.uk/points?person_id=508634&amp;year=2024&amp;type=national&amp;d=6","Results")</f>
        <v/>
      </c>
    </row>
    <row r="204">
      <c r="A204" t="inlineStr">
        <is>
          <t>203</t>
        </is>
      </c>
      <c r="B204" t="inlineStr">
        <is>
          <t>James Waddington</t>
        </is>
      </c>
      <c r="C204" t="inlineStr"/>
      <c r="D204" t="inlineStr">
        <is>
          <t>36</t>
        </is>
      </c>
      <c r="E204" s="2">
        <f>HYPERLINK("https://www.britishcycling.org.uk/points?person_id=64631&amp;year=2024&amp;type=national&amp;d=6","Results")</f>
        <v/>
      </c>
    </row>
    <row r="205">
      <c r="A205" t="inlineStr">
        <is>
          <t>204</t>
        </is>
      </c>
      <c r="B205" t="inlineStr">
        <is>
          <t>Peter Flick</t>
        </is>
      </c>
      <c r="C205" t="inlineStr">
        <is>
          <t>Dundee Thistle RC</t>
        </is>
      </c>
      <c r="D205" t="inlineStr">
        <is>
          <t>34</t>
        </is>
      </c>
      <c r="E205" s="2">
        <f>HYPERLINK("https://www.britishcycling.org.uk/points?person_id=190663&amp;year=2024&amp;type=national&amp;d=6","Results")</f>
        <v/>
      </c>
    </row>
    <row r="206">
      <c r="A206" t="inlineStr">
        <is>
          <t>205</t>
        </is>
      </c>
      <c r="B206" t="inlineStr">
        <is>
          <t>Craig Joy</t>
        </is>
      </c>
      <c r="C206" t="inlineStr">
        <is>
          <t>Lycra Boys Cycling Club</t>
        </is>
      </c>
      <c r="D206" t="inlineStr">
        <is>
          <t>34</t>
        </is>
      </c>
      <c r="E206" s="2">
        <f>HYPERLINK("https://www.britishcycling.org.uk/points?person_id=127581&amp;year=2024&amp;type=national&amp;d=6","Results")</f>
        <v/>
      </c>
    </row>
    <row r="207">
      <c r="A207" t="inlineStr">
        <is>
          <t>206</t>
        </is>
      </c>
      <c r="B207" t="inlineStr">
        <is>
          <t>Adam Ward</t>
        </is>
      </c>
      <c r="C207" t="inlineStr"/>
      <c r="D207" t="inlineStr">
        <is>
          <t>34</t>
        </is>
      </c>
      <c r="E207" s="2">
        <f>HYPERLINK("https://www.britishcycling.org.uk/points?person_id=305745&amp;year=2024&amp;type=national&amp;d=6","Results")</f>
        <v/>
      </c>
    </row>
    <row r="208">
      <c r="A208" t="inlineStr">
        <is>
          <t>207</t>
        </is>
      </c>
      <c r="B208" t="inlineStr">
        <is>
          <t>Doug Baker</t>
        </is>
      </c>
      <c r="C208" t="inlineStr"/>
      <c r="D208" t="inlineStr">
        <is>
          <t>33</t>
        </is>
      </c>
      <c r="E208" s="2">
        <f>HYPERLINK("https://www.britishcycling.org.uk/points?person_id=412383&amp;year=2024&amp;type=national&amp;d=6","Results")</f>
        <v/>
      </c>
    </row>
    <row r="209">
      <c r="A209" t="inlineStr">
        <is>
          <t>208</t>
        </is>
      </c>
      <c r="B209" t="inlineStr">
        <is>
          <t>Neil Buckley</t>
        </is>
      </c>
      <c r="C209" t="inlineStr">
        <is>
          <t>OVB</t>
        </is>
      </c>
      <c r="D209" t="inlineStr">
        <is>
          <t>33</t>
        </is>
      </c>
      <c r="E209" s="2">
        <f>HYPERLINK("https://www.britishcycling.org.uk/points?person_id=219002&amp;year=2024&amp;type=national&amp;d=6","Results")</f>
        <v/>
      </c>
    </row>
    <row r="210">
      <c r="A210" t="inlineStr">
        <is>
          <t>209</t>
        </is>
      </c>
      <c r="B210" t="inlineStr">
        <is>
          <t>Nathan Risbey</t>
        </is>
      </c>
      <c r="C210" t="inlineStr"/>
      <c r="D210" t="inlineStr">
        <is>
          <t>33</t>
        </is>
      </c>
      <c r="E210" s="2">
        <f>HYPERLINK("https://www.britishcycling.org.uk/points?person_id=187897&amp;year=2024&amp;type=national&amp;d=6","Results")</f>
        <v/>
      </c>
    </row>
    <row r="211">
      <c r="A211" t="inlineStr">
        <is>
          <t>210</t>
        </is>
      </c>
      <c r="B211" t="inlineStr">
        <is>
          <t>Andrew Snowball</t>
        </is>
      </c>
      <c r="C211" t="inlineStr"/>
      <c r="D211" t="inlineStr">
        <is>
          <t>33</t>
        </is>
      </c>
      <c r="E211" s="2">
        <f>HYPERLINK("https://www.britishcycling.org.uk/points?person_id=46369&amp;year=2024&amp;type=national&amp;d=6","Results")</f>
        <v/>
      </c>
    </row>
    <row r="212">
      <c r="A212" t="inlineStr">
        <is>
          <t>211</t>
        </is>
      </c>
      <c r="B212" t="inlineStr">
        <is>
          <t>Daniel Atkins</t>
        </is>
      </c>
      <c r="C212" t="inlineStr">
        <is>
          <t>Sarum Velo</t>
        </is>
      </c>
      <c r="D212" t="inlineStr">
        <is>
          <t>32</t>
        </is>
      </c>
      <c r="E212" s="2">
        <f>HYPERLINK("https://www.britishcycling.org.uk/points?person_id=238402&amp;year=2024&amp;type=national&amp;d=6","Results")</f>
        <v/>
      </c>
    </row>
    <row r="213">
      <c r="A213" t="inlineStr">
        <is>
          <t>212</t>
        </is>
      </c>
      <c r="B213" t="inlineStr">
        <is>
          <t>James Bracey</t>
        </is>
      </c>
      <c r="C213" t="inlineStr"/>
      <c r="D213" t="inlineStr">
        <is>
          <t>32</t>
        </is>
      </c>
      <c r="E213" s="2">
        <f>HYPERLINK("https://www.britishcycling.org.uk/points?person_id=6765&amp;year=2024&amp;type=national&amp;d=6","Results")</f>
        <v/>
      </c>
    </row>
    <row r="214">
      <c r="A214" t="inlineStr">
        <is>
          <t>213</t>
        </is>
      </c>
      <c r="B214" t="inlineStr">
        <is>
          <t>Tim McEvoy</t>
        </is>
      </c>
      <c r="C214" t="inlineStr">
        <is>
          <t>FTP-Fulfil The Potential-Racing</t>
        </is>
      </c>
      <c r="D214" t="inlineStr">
        <is>
          <t>32</t>
        </is>
      </c>
      <c r="E214" s="2">
        <f>HYPERLINK("https://www.britishcycling.org.uk/points?person_id=178263&amp;year=2024&amp;type=national&amp;d=6","Results")</f>
        <v/>
      </c>
    </row>
    <row r="215">
      <c r="A215" t="inlineStr">
        <is>
          <t>214</t>
        </is>
      </c>
      <c r="B215" t="inlineStr">
        <is>
          <t>Mark Reed</t>
        </is>
      </c>
      <c r="C215" t="inlineStr">
        <is>
          <t>Tyneside Vagabonds CC</t>
        </is>
      </c>
      <c r="D215" t="inlineStr">
        <is>
          <t>32</t>
        </is>
      </c>
      <c r="E215" s="2">
        <f>HYPERLINK("https://www.britishcycling.org.uk/points?person_id=106848&amp;year=2024&amp;type=national&amp;d=6","Results")</f>
        <v/>
      </c>
    </row>
    <row r="216">
      <c r="A216" t="inlineStr">
        <is>
          <t>215</t>
        </is>
      </c>
      <c r="B216" t="inlineStr">
        <is>
          <t>Andrew Shorney</t>
        </is>
      </c>
      <c r="C216" t="inlineStr">
        <is>
          <t>Derby Mercury RC</t>
        </is>
      </c>
      <c r="D216" t="inlineStr">
        <is>
          <t>32</t>
        </is>
      </c>
      <c r="E216" s="2">
        <f>HYPERLINK("https://www.britishcycling.org.uk/points?person_id=484165&amp;year=2024&amp;type=national&amp;d=6","Results")</f>
        <v/>
      </c>
    </row>
    <row r="217">
      <c r="A217" t="inlineStr">
        <is>
          <t>216</t>
        </is>
      </c>
      <c r="B217" t="inlineStr">
        <is>
          <t>Kieran Day</t>
        </is>
      </c>
      <c r="C217" t="inlineStr">
        <is>
          <t>Dulwich Paragon CC</t>
        </is>
      </c>
      <c r="D217" t="inlineStr">
        <is>
          <t>31</t>
        </is>
      </c>
      <c r="E217" s="2">
        <f>HYPERLINK("https://www.britishcycling.org.uk/points?person_id=673109&amp;year=2024&amp;type=national&amp;d=6","Results")</f>
        <v/>
      </c>
    </row>
    <row r="218">
      <c r="A218" t="inlineStr">
        <is>
          <t>217</t>
        </is>
      </c>
      <c r="B218" t="inlineStr">
        <is>
          <t>James Gilfillan</t>
        </is>
      </c>
      <c r="C218" t="inlineStr">
        <is>
          <t>Sotonia CC</t>
        </is>
      </c>
      <c r="D218" t="inlineStr">
        <is>
          <t>31</t>
        </is>
      </c>
      <c r="E218" s="2">
        <f>HYPERLINK("https://www.britishcycling.org.uk/points?person_id=1052663&amp;year=2024&amp;type=national&amp;d=6","Results")</f>
        <v/>
      </c>
    </row>
    <row r="219">
      <c r="A219" t="inlineStr">
        <is>
          <t>218</t>
        </is>
      </c>
      <c r="B219" t="inlineStr">
        <is>
          <t>Sean Gilham</t>
        </is>
      </c>
      <c r="C219" t="inlineStr"/>
      <c r="D219" t="inlineStr">
        <is>
          <t>31</t>
        </is>
      </c>
      <c r="E219" s="2">
        <f>HYPERLINK("https://www.britishcycling.org.uk/points?person_id=1033679&amp;year=2024&amp;type=national&amp;d=6","Results")</f>
        <v/>
      </c>
    </row>
    <row r="220">
      <c r="A220" t="inlineStr">
        <is>
          <t>219</t>
        </is>
      </c>
      <c r="B220" t="inlineStr">
        <is>
          <t>Mark Field</t>
        </is>
      </c>
      <c r="C220" t="inlineStr"/>
      <c r="D220" t="inlineStr">
        <is>
          <t>30</t>
        </is>
      </c>
      <c r="E220" s="2">
        <f>HYPERLINK("https://www.britishcycling.org.uk/points?person_id=28561&amp;year=2024&amp;type=national&amp;d=6","Results")</f>
        <v/>
      </c>
    </row>
    <row r="221">
      <c r="A221" t="inlineStr">
        <is>
          <t>220</t>
        </is>
      </c>
      <c r="B221" t="inlineStr">
        <is>
          <t>Gavin Howell</t>
        </is>
      </c>
      <c r="C221" t="inlineStr">
        <is>
          <t>Ride Revolution Coaching</t>
        </is>
      </c>
      <c r="D221" t="inlineStr">
        <is>
          <t>30</t>
        </is>
      </c>
      <c r="E221" s="2">
        <f>HYPERLINK("https://www.britishcycling.org.uk/points?person_id=53099&amp;year=2024&amp;type=national&amp;d=6","Results")</f>
        <v/>
      </c>
    </row>
    <row r="222">
      <c r="A222" t="inlineStr">
        <is>
          <t>221</t>
        </is>
      </c>
      <c r="B222" t="inlineStr">
        <is>
          <t>Jonathan Peall</t>
        </is>
      </c>
      <c r="C222" t="inlineStr"/>
      <c r="D222" t="inlineStr">
        <is>
          <t>30</t>
        </is>
      </c>
      <c r="E222" s="2">
        <f>HYPERLINK("https://www.britishcycling.org.uk/points?person_id=370491&amp;year=2024&amp;type=national&amp;d=6","Results")</f>
        <v/>
      </c>
    </row>
    <row r="223">
      <c r="A223" t="inlineStr">
        <is>
          <t>222</t>
        </is>
      </c>
      <c r="B223" t="inlineStr">
        <is>
          <t>Steve Hodgson</t>
        </is>
      </c>
      <c r="C223" t="inlineStr">
        <is>
          <t>Mid Devon CC</t>
        </is>
      </c>
      <c r="D223" t="inlineStr">
        <is>
          <t>29</t>
        </is>
      </c>
      <c r="E223" s="2">
        <f>HYPERLINK("https://www.britishcycling.org.uk/points?person_id=178620&amp;year=2024&amp;type=national&amp;d=6","Results")</f>
        <v/>
      </c>
    </row>
    <row r="224">
      <c r="A224" t="inlineStr">
        <is>
          <t>223</t>
        </is>
      </c>
      <c r="B224" t="inlineStr">
        <is>
          <t>Ben Warren</t>
        </is>
      </c>
      <c r="C224" t="inlineStr">
        <is>
          <t>Portishead Cycling Club</t>
        </is>
      </c>
      <c r="D224" t="inlineStr">
        <is>
          <t>29</t>
        </is>
      </c>
      <c r="E224" s="2">
        <f>HYPERLINK("https://www.britishcycling.org.uk/points?person_id=811570&amp;year=2024&amp;type=national&amp;d=6","Results")</f>
        <v/>
      </c>
    </row>
    <row r="225">
      <c r="A225" t="inlineStr">
        <is>
          <t>224</t>
        </is>
      </c>
      <c r="B225" t="inlineStr">
        <is>
          <t>Christian Aucote</t>
        </is>
      </c>
      <c r="C225" t="inlineStr">
        <is>
          <t>Cycle Mickleover</t>
        </is>
      </c>
      <c r="D225" t="inlineStr">
        <is>
          <t>28</t>
        </is>
      </c>
      <c r="E225" s="2">
        <f>HYPERLINK("https://www.britishcycling.org.uk/points?person_id=4840&amp;year=2024&amp;type=national&amp;d=6","Results")</f>
        <v/>
      </c>
    </row>
    <row r="226">
      <c r="A226" t="inlineStr">
        <is>
          <t>225</t>
        </is>
      </c>
      <c r="B226" t="inlineStr">
        <is>
          <t>Matt Kendall</t>
        </is>
      </c>
      <c r="C226" t="inlineStr">
        <is>
          <t>North Cheshire Clarion</t>
        </is>
      </c>
      <c r="D226" t="inlineStr">
        <is>
          <t>28</t>
        </is>
      </c>
      <c r="E226" s="2">
        <f>HYPERLINK("https://www.britishcycling.org.uk/points?person_id=913555&amp;year=2024&amp;type=national&amp;d=6","Results")</f>
        <v/>
      </c>
    </row>
    <row r="227">
      <c r="A227" t="inlineStr">
        <is>
          <t>226</t>
        </is>
      </c>
      <c r="B227" t="inlineStr">
        <is>
          <t>Adrian Peall</t>
        </is>
      </c>
      <c r="C227" t="inlineStr">
        <is>
          <t>Gannet CC</t>
        </is>
      </c>
      <c r="D227" t="inlineStr">
        <is>
          <t>28</t>
        </is>
      </c>
      <c r="E227" s="2">
        <f>HYPERLINK("https://www.britishcycling.org.uk/points?person_id=105049&amp;year=2024&amp;type=national&amp;d=6","Results")</f>
        <v/>
      </c>
    </row>
    <row r="228">
      <c r="A228" t="inlineStr">
        <is>
          <t>227</t>
        </is>
      </c>
      <c r="B228" t="inlineStr">
        <is>
          <t>Clive Upton</t>
        </is>
      </c>
      <c r="C228" t="inlineStr">
        <is>
          <t>Hambleton RC</t>
        </is>
      </c>
      <c r="D228" t="inlineStr">
        <is>
          <t>28</t>
        </is>
      </c>
      <c r="E228" s="2">
        <f>HYPERLINK("https://www.britishcycling.org.uk/points?person_id=116220&amp;year=2024&amp;type=national&amp;d=6","Results")</f>
        <v/>
      </c>
    </row>
    <row r="229">
      <c r="A229" t="inlineStr">
        <is>
          <t>228</t>
        </is>
      </c>
      <c r="B229" t="inlineStr">
        <is>
          <t>James Malone</t>
        </is>
      </c>
      <c r="C229" t="inlineStr">
        <is>
          <t>Dulwich Paragon CC</t>
        </is>
      </c>
      <c r="D229" t="inlineStr">
        <is>
          <t>27</t>
        </is>
      </c>
      <c r="E229" s="2">
        <f>HYPERLINK("https://www.britishcycling.org.uk/points?person_id=361576&amp;year=2024&amp;type=national&amp;d=6","Results")</f>
        <v/>
      </c>
    </row>
    <row r="230">
      <c r="A230" t="inlineStr">
        <is>
          <t>229</t>
        </is>
      </c>
      <c r="B230" t="inlineStr">
        <is>
          <t>Matt Waters</t>
        </is>
      </c>
      <c r="C230" t="inlineStr">
        <is>
          <t>Army Cycling Union</t>
        </is>
      </c>
      <c r="D230" t="inlineStr">
        <is>
          <t>27</t>
        </is>
      </c>
      <c r="E230" s="2">
        <f>HYPERLINK("https://www.britishcycling.org.uk/points?person_id=217137&amp;year=2024&amp;type=national&amp;d=6","Results")</f>
        <v/>
      </c>
    </row>
    <row r="231">
      <c r="A231" t="inlineStr">
        <is>
          <t>230</t>
        </is>
      </c>
      <c r="B231" t="inlineStr">
        <is>
          <t>Jesse Baines</t>
        </is>
      </c>
      <c r="C231" t="inlineStr"/>
      <c r="D231" t="inlineStr">
        <is>
          <t>26</t>
        </is>
      </c>
      <c r="E231" s="2">
        <f>HYPERLINK("https://www.britishcycling.org.uk/points?person_id=117604&amp;year=2024&amp;type=national&amp;d=6","Results")</f>
        <v/>
      </c>
    </row>
    <row r="232">
      <c r="A232" t="inlineStr">
        <is>
          <t>231</t>
        </is>
      </c>
      <c r="B232" t="inlineStr">
        <is>
          <t>Antony Bethell</t>
        </is>
      </c>
      <c r="C232" t="inlineStr">
        <is>
          <t>Macclesfield Wheelers</t>
        </is>
      </c>
      <c r="D232" t="inlineStr">
        <is>
          <t>26</t>
        </is>
      </c>
      <c r="E232" s="2">
        <f>HYPERLINK("https://www.britishcycling.org.uk/points?person_id=58807&amp;year=2024&amp;type=national&amp;d=6","Results")</f>
        <v/>
      </c>
    </row>
    <row r="233">
      <c r="A233" t="inlineStr">
        <is>
          <t>232</t>
        </is>
      </c>
      <c r="B233" t="inlineStr">
        <is>
          <t>James Fisher</t>
        </is>
      </c>
      <c r="C233" t="inlineStr">
        <is>
          <t>Welwyn Wheelers CC</t>
        </is>
      </c>
      <c r="D233" t="inlineStr">
        <is>
          <t>26</t>
        </is>
      </c>
      <c r="E233" s="2">
        <f>HYPERLINK("https://www.britishcycling.org.uk/points?person_id=1088664&amp;year=2024&amp;type=national&amp;d=6","Results")</f>
        <v/>
      </c>
    </row>
    <row r="234">
      <c r="A234" t="inlineStr">
        <is>
          <t>233</t>
        </is>
      </c>
      <c r="B234" t="inlineStr">
        <is>
          <t>William Hornby</t>
        </is>
      </c>
      <c r="C234" t="inlineStr">
        <is>
          <t>Cycle Sport South Hams</t>
        </is>
      </c>
      <c r="D234" t="inlineStr">
        <is>
          <t>26</t>
        </is>
      </c>
      <c r="E234" s="2">
        <f>HYPERLINK("https://www.britishcycling.org.uk/points?person_id=63665&amp;year=2024&amp;type=national&amp;d=6","Results")</f>
        <v/>
      </c>
    </row>
    <row r="235">
      <c r="A235" t="inlineStr">
        <is>
          <t>234</t>
        </is>
      </c>
      <c r="B235" t="inlineStr">
        <is>
          <t>Mark Perry</t>
        </is>
      </c>
      <c r="C235" t="inlineStr">
        <is>
          <t>ViCiOUS VELO</t>
        </is>
      </c>
      <c r="D235" t="inlineStr">
        <is>
          <t>26</t>
        </is>
      </c>
      <c r="E235" s="2">
        <f>HYPERLINK("https://www.britishcycling.org.uk/points?person_id=18896&amp;year=2024&amp;type=national&amp;d=6","Results")</f>
        <v/>
      </c>
    </row>
    <row r="236">
      <c r="A236" t="inlineStr">
        <is>
          <t>235</t>
        </is>
      </c>
      <c r="B236" t="inlineStr">
        <is>
          <t>David Tomb</t>
        </is>
      </c>
      <c r="C236" t="inlineStr">
        <is>
          <t>VC Glasgow South</t>
        </is>
      </c>
      <c r="D236" t="inlineStr">
        <is>
          <t>26</t>
        </is>
      </c>
      <c r="E236" s="2">
        <f>HYPERLINK("https://www.britishcycling.org.uk/points?person_id=1013055&amp;year=2024&amp;type=national&amp;d=6","Results")</f>
        <v/>
      </c>
    </row>
    <row r="237">
      <c r="A237" t="inlineStr">
        <is>
          <t>236</t>
        </is>
      </c>
      <c r="B237" t="inlineStr">
        <is>
          <t>Ross Bryan</t>
        </is>
      </c>
      <c r="C237" t="inlineStr">
        <is>
          <t>VC Deal</t>
        </is>
      </c>
      <c r="D237" t="inlineStr">
        <is>
          <t>25</t>
        </is>
      </c>
      <c r="E237" s="2">
        <f>HYPERLINK("https://www.britishcycling.org.uk/points?person_id=108107&amp;year=2024&amp;type=national&amp;d=6","Results")</f>
        <v/>
      </c>
    </row>
    <row r="238">
      <c r="A238" t="inlineStr">
        <is>
          <t>237</t>
        </is>
      </c>
      <c r="B238" t="inlineStr">
        <is>
          <t>Stewart Melling</t>
        </is>
      </c>
      <c r="C238" t="inlineStr"/>
      <c r="D238" t="inlineStr">
        <is>
          <t>25</t>
        </is>
      </c>
      <c r="E238" s="2">
        <f>HYPERLINK("https://www.britishcycling.org.uk/points?person_id=239632&amp;year=2024&amp;type=national&amp;d=6","Results")</f>
        <v/>
      </c>
    </row>
    <row r="239">
      <c r="A239" t="inlineStr">
        <is>
          <t>238</t>
        </is>
      </c>
      <c r="B239" t="inlineStr">
        <is>
          <t>Joe Faraday</t>
        </is>
      </c>
      <c r="C239" t="inlineStr">
        <is>
          <t>Edinburgh RC</t>
        </is>
      </c>
      <c r="D239" t="inlineStr">
        <is>
          <t>24</t>
        </is>
      </c>
      <c r="E239" s="2">
        <f>HYPERLINK("https://www.britishcycling.org.uk/points?person_id=1130979&amp;year=2024&amp;type=national&amp;d=6","Results")</f>
        <v/>
      </c>
    </row>
    <row r="240">
      <c r="A240" t="inlineStr">
        <is>
          <t>239</t>
        </is>
      </c>
      <c r="B240" t="inlineStr">
        <is>
          <t>Richard Gorst</t>
        </is>
      </c>
      <c r="C240" t="inlineStr">
        <is>
          <t>Saddleback Racing</t>
        </is>
      </c>
      <c r="D240" t="inlineStr">
        <is>
          <t>24</t>
        </is>
      </c>
      <c r="E240" s="2">
        <f>HYPERLINK("https://www.britishcycling.org.uk/points?person_id=732183&amp;year=2024&amp;type=national&amp;d=6","Results")</f>
        <v/>
      </c>
    </row>
    <row r="241">
      <c r="A241" t="inlineStr">
        <is>
          <t>240</t>
        </is>
      </c>
      <c r="B241" t="inlineStr">
        <is>
          <t>Mark Graves</t>
        </is>
      </c>
      <c r="C241" t="inlineStr">
        <is>
          <t>4T+ Cyclopark</t>
        </is>
      </c>
      <c r="D241" t="inlineStr">
        <is>
          <t>24</t>
        </is>
      </c>
      <c r="E241" s="2">
        <f>HYPERLINK("https://www.britishcycling.org.uk/points?person_id=1096795&amp;year=2024&amp;type=national&amp;d=6","Results")</f>
        <v/>
      </c>
    </row>
    <row r="242">
      <c r="A242" t="inlineStr">
        <is>
          <t>241</t>
        </is>
      </c>
      <c r="B242" t="inlineStr">
        <is>
          <t>Gavin Hamilton</t>
        </is>
      </c>
      <c r="C242" t="inlineStr">
        <is>
          <t>Lichfield City CC</t>
        </is>
      </c>
      <c r="D242" t="inlineStr">
        <is>
          <t>24</t>
        </is>
      </c>
      <c r="E242" s="2">
        <f>HYPERLINK("https://www.britishcycling.org.uk/points?person_id=535440&amp;year=2024&amp;type=national&amp;d=6","Results")</f>
        <v/>
      </c>
    </row>
    <row r="243">
      <c r="A243" t="inlineStr">
        <is>
          <t>242</t>
        </is>
      </c>
      <c r="B243" t="inlineStr">
        <is>
          <t>Grant Leavy</t>
        </is>
      </c>
      <c r="C243" t="inlineStr">
        <is>
          <t>Velo Club Bristol</t>
        </is>
      </c>
      <c r="D243" t="inlineStr">
        <is>
          <t>24</t>
        </is>
      </c>
      <c r="E243" s="2">
        <f>HYPERLINK("https://www.britishcycling.org.uk/points?person_id=60579&amp;year=2024&amp;type=national&amp;d=6","Results")</f>
        <v/>
      </c>
    </row>
    <row r="244">
      <c r="A244" t="inlineStr">
        <is>
          <t>243</t>
        </is>
      </c>
      <c r="B244" t="inlineStr">
        <is>
          <t>Daniel Sharp</t>
        </is>
      </c>
      <c r="C244" t="inlineStr">
        <is>
          <t>Ilkley Cycling Club</t>
        </is>
      </c>
      <c r="D244" t="inlineStr">
        <is>
          <t>24</t>
        </is>
      </c>
      <c r="E244" s="2">
        <f>HYPERLINK("https://www.britishcycling.org.uk/points?person_id=615223&amp;year=2024&amp;type=national&amp;d=6","Results")</f>
        <v/>
      </c>
    </row>
    <row r="245">
      <c r="A245" t="inlineStr">
        <is>
          <t>244</t>
        </is>
      </c>
      <c r="B245" t="inlineStr">
        <is>
          <t>Matthew Harris</t>
        </is>
      </c>
      <c r="C245" t="inlineStr">
        <is>
          <t>Halesowen A &amp; CC</t>
        </is>
      </c>
      <c r="D245" t="inlineStr">
        <is>
          <t>23</t>
        </is>
      </c>
      <c r="E245" s="2">
        <f>HYPERLINK("https://www.britishcycling.org.uk/points?person_id=30826&amp;year=2024&amp;type=national&amp;d=6","Results")</f>
        <v/>
      </c>
    </row>
    <row r="246">
      <c r="A246" t="inlineStr">
        <is>
          <t>245</t>
        </is>
      </c>
      <c r="B246" t="inlineStr">
        <is>
          <t>Ian Keary</t>
        </is>
      </c>
      <c r="C246" t="inlineStr">
        <is>
          <t>Palmer Park Velo RT</t>
        </is>
      </c>
      <c r="D246" t="inlineStr">
        <is>
          <t>23</t>
        </is>
      </c>
      <c r="E246" s="2">
        <f>HYPERLINK("https://www.britishcycling.org.uk/points?person_id=75429&amp;year=2024&amp;type=national&amp;d=6","Results")</f>
        <v/>
      </c>
    </row>
    <row r="247">
      <c r="A247" t="inlineStr">
        <is>
          <t>246</t>
        </is>
      </c>
      <c r="B247" t="inlineStr">
        <is>
          <t>Enwezor Nzegwu</t>
        </is>
      </c>
      <c r="C247" t="inlineStr">
        <is>
          <t>Solent Pirates</t>
        </is>
      </c>
      <c r="D247" t="inlineStr">
        <is>
          <t>23</t>
        </is>
      </c>
      <c r="E247" s="2">
        <f>HYPERLINK("https://www.britishcycling.org.uk/points?person_id=435435&amp;year=2024&amp;type=national&amp;d=6","Results")</f>
        <v/>
      </c>
    </row>
    <row r="248">
      <c r="A248" t="inlineStr">
        <is>
          <t>247</t>
        </is>
      </c>
      <c r="B248" t="inlineStr">
        <is>
          <t>Steve Osgerby</t>
        </is>
      </c>
      <c r="C248" t="inlineStr">
        <is>
          <t>City RC (Hull)</t>
        </is>
      </c>
      <c r="D248" t="inlineStr">
        <is>
          <t>23</t>
        </is>
      </c>
      <c r="E248" s="2">
        <f>HYPERLINK("https://www.britishcycling.org.uk/points?person_id=937222&amp;year=2024&amp;type=national&amp;d=6","Results")</f>
        <v/>
      </c>
    </row>
    <row r="249">
      <c r="A249" t="inlineStr">
        <is>
          <t>248</t>
        </is>
      </c>
      <c r="B249" t="inlineStr">
        <is>
          <t>Thomas Colley</t>
        </is>
      </c>
      <c r="C249" t="inlineStr">
        <is>
          <t>Chase Racing</t>
        </is>
      </c>
      <c r="D249" t="inlineStr">
        <is>
          <t>22</t>
        </is>
      </c>
      <c r="E249" s="2">
        <f>HYPERLINK("https://www.britishcycling.org.uk/points?person_id=561855&amp;year=2024&amp;type=national&amp;d=6","Results")</f>
        <v/>
      </c>
    </row>
    <row r="250">
      <c r="A250" t="inlineStr">
        <is>
          <t>249</t>
        </is>
      </c>
      <c r="B250" t="inlineStr">
        <is>
          <t>Robert Ford</t>
        </is>
      </c>
      <c r="C250" t="inlineStr">
        <is>
          <t>Portsmouth North End CC</t>
        </is>
      </c>
      <c r="D250" t="inlineStr">
        <is>
          <t>22</t>
        </is>
      </c>
      <c r="E250" s="2">
        <f>HYPERLINK("https://www.britishcycling.org.uk/points?person_id=168963&amp;year=2024&amp;type=national&amp;d=6","Results")</f>
        <v/>
      </c>
    </row>
    <row r="251">
      <c r="A251" t="inlineStr">
        <is>
          <t>250</t>
        </is>
      </c>
      <c r="B251" t="inlineStr">
        <is>
          <t>Julian Lowes</t>
        </is>
      </c>
      <c r="C251" t="inlineStr">
        <is>
          <t>Alford Wheelers</t>
        </is>
      </c>
      <c r="D251" t="inlineStr">
        <is>
          <t>22</t>
        </is>
      </c>
      <c r="E251" s="2">
        <f>HYPERLINK("https://www.britishcycling.org.uk/points?person_id=1037426&amp;year=2024&amp;type=national&amp;d=6","Results")</f>
        <v/>
      </c>
    </row>
    <row r="252">
      <c r="A252" t="inlineStr">
        <is>
          <t>251</t>
        </is>
      </c>
      <c r="B252" t="inlineStr">
        <is>
          <t>Richard Moult</t>
        </is>
      </c>
      <c r="C252" t="inlineStr">
        <is>
          <t>Sussex Revolution Velo Club</t>
        </is>
      </c>
      <c r="D252" t="inlineStr">
        <is>
          <t>22</t>
        </is>
      </c>
      <c r="E252" s="2">
        <f>HYPERLINK("https://www.britishcycling.org.uk/points?person_id=335910&amp;year=2024&amp;type=national&amp;d=6","Results")</f>
        <v/>
      </c>
    </row>
    <row r="253">
      <c r="A253" t="inlineStr">
        <is>
          <t>252</t>
        </is>
      </c>
      <c r="B253" t="inlineStr">
        <is>
          <t>Chris Panayiotou</t>
        </is>
      </c>
      <c r="C253" t="inlineStr">
        <is>
          <t>G!RO Cycles</t>
        </is>
      </c>
      <c r="D253" t="inlineStr">
        <is>
          <t>22</t>
        </is>
      </c>
      <c r="E253" s="2">
        <f>HYPERLINK("https://www.britishcycling.org.uk/points?person_id=26013&amp;year=2024&amp;type=national&amp;d=6","Results")</f>
        <v/>
      </c>
    </row>
    <row r="254">
      <c r="A254" t="inlineStr">
        <is>
          <t>253</t>
        </is>
      </c>
      <c r="B254" t="inlineStr">
        <is>
          <t>David Pugh</t>
        </is>
      </c>
      <c r="C254" t="inlineStr"/>
      <c r="D254" t="inlineStr">
        <is>
          <t>22</t>
        </is>
      </c>
      <c r="E254" s="2">
        <f>HYPERLINK("https://www.britishcycling.org.uk/points?person_id=378650&amp;year=2024&amp;type=national&amp;d=6","Results")</f>
        <v/>
      </c>
    </row>
    <row r="255">
      <c r="A255" t="inlineStr">
        <is>
          <t>254</t>
        </is>
      </c>
      <c r="B255" t="inlineStr">
        <is>
          <t>Thomas Randall</t>
        </is>
      </c>
      <c r="C255" t="inlineStr">
        <is>
          <t>Huddersfield Star Wheelers</t>
        </is>
      </c>
      <c r="D255" t="inlineStr">
        <is>
          <t>22</t>
        </is>
      </c>
      <c r="E255" s="2">
        <f>HYPERLINK("https://www.britishcycling.org.uk/points?person_id=35530&amp;year=2024&amp;type=national&amp;d=6","Results")</f>
        <v/>
      </c>
    </row>
    <row r="256">
      <c r="A256" t="inlineStr">
        <is>
          <t>255</t>
        </is>
      </c>
      <c r="B256" t="inlineStr">
        <is>
          <t>Sam Robinson</t>
        </is>
      </c>
      <c r="C256" t="inlineStr">
        <is>
          <t>Team Milton Keynes</t>
        </is>
      </c>
      <c r="D256" t="inlineStr">
        <is>
          <t>21</t>
        </is>
      </c>
      <c r="E256" s="2">
        <f>HYPERLINK("https://www.britishcycling.org.uk/points?person_id=953270&amp;year=2024&amp;type=national&amp;d=6","Results")</f>
        <v/>
      </c>
    </row>
    <row r="257">
      <c r="A257" t="inlineStr">
        <is>
          <t>256</t>
        </is>
      </c>
      <c r="B257" t="inlineStr">
        <is>
          <t>Huw Bendall</t>
        </is>
      </c>
      <c r="C257" t="inlineStr">
        <is>
          <t>Pembrokeshire Velo</t>
        </is>
      </c>
      <c r="D257" t="inlineStr">
        <is>
          <t>20</t>
        </is>
      </c>
      <c r="E257" s="2">
        <f>HYPERLINK("https://www.britishcycling.org.uk/points?person_id=1823&amp;year=2024&amp;type=national&amp;d=6","Results")</f>
        <v/>
      </c>
    </row>
    <row r="258">
      <c r="A258" t="inlineStr">
        <is>
          <t>257</t>
        </is>
      </c>
      <c r="B258" t="inlineStr">
        <is>
          <t>Mervyn Dempsey</t>
        </is>
      </c>
      <c r="C258" t="inlineStr">
        <is>
          <t>Mercedes AMG PETRONAS</t>
        </is>
      </c>
      <c r="D258" t="inlineStr">
        <is>
          <t>20</t>
        </is>
      </c>
      <c r="E258" s="2">
        <f>HYPERLINK("https://www.britishcycling.org.uk/points?person_id=420336&amp;year=2024&amp;type=national&amp;d=6","Results")</f>
        <v/>
      </c>
    </row>
    <row r="259">
      <c r="A259" t="inlineStr">
        <is>
          <t>258</t>
        </is>
      </c>
      <c r="B259" t="inlineStr">
        <is>
          <t>Dan Blackburn</t>
        </is>
      </c>
      <c r="C259" t="inlineStr">
        <is>
          <t>Epic Orange Race Team</t>
        </is>
      </c>
      <c r="D259" t="inlineStr">
        <is>
          <t>19</t>
        </is>
      </c>
      <c r="E259" s="2">
        <f>HYPERLINK("https://www.britishcycling.org.uk/points?person_id=507939&amp;year=2024&amp;type=national&amp;d=6","Results")</f>
        <v/>
      </c>
    </row>
    <row r="260">
      <c r="A260" t="inlineStr">
        <is>
          <t>259</t>
        </is>
      </c>
      <c r="B260" t="inlineStr">
        <is>
          <t>Darren Gardner</t>
        </is>
      </c>
      <c r="C260" t="inlineStr">
        <is>
          <t>Bath Cycling Club</t>
        </is>
      </c>
      <c r="D260" t="inlineStr">
        <is>
          <t>18</t>
        </is>
      </c>
      <c r="E260" s="2">
        <f>HYPERLINK("https://www.britishcycling.org.uk/points?person_id=7048&amp;year=2024&amp;type=national&amp;d=6","Results")</f>
        <v/>
      </c>
    </row>
    <row r="261">
      <c r="A261" t="inlineStr">
        <is>
          <t>260</t>
        </is>
      </c>
      <c r="B261" t="inlineStr">
        <is>
          <t>Alan Sanders</t>
        </is>
      </c>
      <c r="C261" t="inlineStr">
        <is>
          <t>Cycle Sport South Hams</t>
        </is>
      </c>
      <c r="D261" t="inlineStr">
        <is>
          <t>18</t>
        </is>
      </c>
      <c r="E261" s="2">
        <f>HYPERLINK("https://www.britishcycling.org.uk/points?person_id=77661&amp;year=2024&amp;type=national&amp;d=6","Results")</f>
        <v/>
      </c>
    </row>
    <row r="262">
      <c r="A262" t="inlineStr">
        <is>
          <t>261</t>
        </is>
      </c>
      <c r="B262" t="inlineStr">
        <is>
          <t>Nathan Smith</t>
        </is>
      </c>
      <c r="C262" t="inlineStr"/>
      <c r="D262" t="inlineStr">
        <is>
          <t>17</t>
        </is>
      </c>
      <c r="E262" s="2">
        <f>HYPERLINK("https://www.britishcycling.org.uk/points?person_id=183433&amp;year=2024&amp;type=national&amp;d=6","Results")</f>
        <v/>
      </c>
    </row>
    <row r="263">
      <c r="A263" t="inlineStr">
        <is>
          <t>262</t>
        </is>
      </c>
      <c r="B263" t="inlineStr">
        <is>
          <t>Kristian Spreckley</t>
        </is>
      </c>
      <c r="C263" t="inlineStr"/>
      <c r="D263" t="inlineStr">
        <is>
          <t>17</t>
        </is>
      </c>
      <c r="E263" s="2">
        <f>HYPERLINK("https://www.britishcycling.org.uk/points?person_id=130797&amp;year=2024&amp;type=national&amp;d=6","Results")</f>
        <v/>
      </c>
    </row>
    <row r="264">
      <c r="A264" t="inlineStr">
        <is>
          <t>263</t>
        </is>
      </c>
      <c r="B264" t="inlineStr">
        <is>
          <t>Matthew Wootton</t>
        </is>
      </c>
      <c r="C264" t="inlineStr"/>
      <c r="D264" t="inlineStr">
        <is>
          <t>17</t>
        </is>
      </c>
      <c r="E264" s="2">
        <f>HYPERLINK("https://www.britishcycling.org.uk/points?person_id=552090&amp;year=2024&amp;type=national&amp;d=6","Results")</f>
        <v/>
      </c>
    </row>
    <row r="265">
      <c r="A265" t="inlineStr">
        <is>
          <t>264</t>
        </is>
      </c>
      <c r="B265" t="inlineStr">
        <is>
          <t>Daniel Long</t>
        </is>
      </c>
      <c r="C265" t="inlineStr">
        <is>
          <t>Elgin CC</t>
        </is>
      </c>
      <c r="D265" t="inlineStr">
        <is>
          <t>16</t>
        </is>
      </c>
      <c r="E265" s="2">
        <f>HYPERLINK("https://www.britishcycling.org.uk/points?person_id=690439&amp;year=2024&amp;type=national&amp;d=6","Results")</f>
        <v/>
      </c>
    </row>
    <row r="266">
      <c r="A266" t="inlineStr">
        <is>
          <t>265</t>
        </is>
      </c>
      <c r="B266" t="inlineStr">
        <is>
          <t>Tom McMahon</t>
        </is>
      </c>
      <c r="C266" t="inlineStr">
        <is>
          <t>Dulwich Paragon CC</t>
        </is>
      </c>
      <c r="D266" t="inlineStr">
        <is>
          <t>16</t>
        </is>
      </c>
      <c r="E266" s="2">
        <f>HYPERLINK("https://www.britishcycling.org.uk/points?person_id=1025824&amp;year=2024&amp;type=national&amp;d=6","Results")</f>
        <v/>
      </c>
    </row>
    <row r="267">
      <c r="A267" t="inlineStr">
        <is>
          <t>266</t>
        </is>
      </c>
      <c r="B267" t="inlineStr">
        <is>
          <t>Dave Saunders</t>
        </is>
      </c>
      <c r="C267" t="inlineStr">
        <is>
          <t>Mid Shropshire Wheelers</t>
        </is>
      </c>
      <c r="D267" t="inlineStr">
        <is>
          <t>16</t>
        </is>
      </c>
      <c r="E267" s="2">
        <f>HYPERLINK("https://www.britishcycling.org.uk/points?person_id=106107&amp;year=2024&amp;type=national&amp;d=6","Results")</f>
        <v/>
      </c>
    </row>
    <row r="268">
      <c r="A268" t="inlineStr">
        <is>
          <t>267</t>
        </is>
      </c>
      <c r="B268" t="inlineStr">
        <is>
          <t>Steven Sharp</t>
        </is>
      </c>
      <c r="C268" t="inlineStr">
        <is>
          <t>Ecosse Northboats</t>
        </is>
      </c>
      <c r="D268" t="inlineStr">
        <is>
          <t>16</t>
        </is>
      </c>
      <c r="E268" s="2">
        <f>HYPERLINK("https://www.britishcycling.org.uk/points?person_id=586011&amp;year=2024&amp;type=national&amp;d=6","Results")</f>
        <v/>
      </c>
    </row>
    <row r="269">
      <c r="A269" t="inlineStr">
        <is>
          <t>268</t>
        </is>
      </c>
      <c r="B269" t="inlineStr">
        <is>
          <t>Christopher Ward</t>
        </is>
      </c>
      <c r="C269" t="inlineStr">
        <is>
          <t>Shibden Cycling Club</t>
        </is>
      </c>
      <c r="D269" t="inlineStr">
        <is>
          <t>16</t>
        </is>
      </c>
      <c r="E269" s="2">
        <f>HYPERLINK("https://www.britishcycling.org.uk/points?person_id=282934&amp;year=2024&amp;type=national&amp;d=6","Results")</f>
        <v/>
      </c>
    </row>
    <row r="270">
      <c r="A270" t="inlineStr">
        <is>
          <t>269</t>
        </is>
      </c>
      <c r="B270" t="inlineStr">
        <is>
          <t>John Wheeler</t>
        </is>
      </c>
      <c r="C270" t="inlineStr"/>
      <c r="D270" t="inlineStr">
        <is>
          <t>16</t>
        </is>
      </c>
      <c r="E270" s="2">
        <f>HYPERLINK("https://www.britishcycling.org.uk/points?person_id=412330&amp;year=2024&amp;type=national&amp;d=6","Results")</f>
        <v/>
      </c>
    </row>
    <row r="271">
      <c r="A271" t="inlineStr">
        <is>
          <t>270</t>
        </is>
      </c>
      <c r="B271" t="inlineStr">
        <is>
          <t>Aidan Bishop</t>
        </is>
      </c>
      <c r="C271" t="inlineStr"/>
      <c r="D271" t="inlineStr">
        <is>
          <t>15</t>
        </is>
      </c>
      <c r="E271" s="2">
        <f>HYPERLINK("https://www.britishcycling.org.uk/points?person_id=11199&amp;year=2024&amp;type=national&amp;d=6","Results")</f>
        <v/>
      </c>
    </row>
    <row r="272">
      <c r="A272" t="inlineStr">
        <is>
          <t>271</t>
        </is>
      </c>
      <c r="B272" t="inlineStr">
        <is>
          <t>Russell Short</t>
        </is>
      </c>
      <c r="C272" t="inlineStr">
        <is>
          <t>CHAINGANG Racing Team</t>
        </is>
      </c>
      <c r="D272" t="inlineStr">
        <is>
          <t>15</t>
        </is>
      </c>
      <c r="E272" s="2">
        <f>HYPERLINK("https://www.britishcycling.org.uk/points?person_id=14983&amp;year=2024&amp;type=national&amp;d=6","Results")</f>
        <v/>
      </c>
    </row>
    <row r="273">
      <c r="A273" t="inlineStr">
        <is>
          <t>272</t>
        </is>
      </c>
      <c r="B273" t="inlineStr">
        <is>
          <t>Matthew Wakefield</t>
        </is>
      </c>
      <c r="C273" t="inlineStr"/>
      <c r="D273" t="inlineStr">
        <is>
          <t>15</t>
        </is>
      </c>
      <c r="E273" s="2">
        <f>HYPERLINK("https://www.britishcycling.org.uk/points?person_id=51266&amp;year=2024&amp;type=national&amp;d=6","Results")</f>
        <v/>
      </c>
    </row>
    <row r="274">
      <c r="A274" t="inlineStr">
        <is>
          <t>273</t>
        </is>
      </c>
      <c r="B274" t="inlineStr">
        <is>
          <t>Nick Ashmore</t>
        </is>
      </c>
      <c r="C274" t="inlineStr">
        <is>
          <t>Paceline Cycles North</t>
        </is>
      </c>
      <c r="D274" t="inlineStr">
        <is>
          <t>14</t>
        </is>
      </c>
      <c r="E274" s="2">
        <f>HYPERLINK("https://www.britishcycling.org.uk/points?person_id=282151&amp;year=2024&amp;type=national&amp;d=6","Results")</f>
        <v/>
      </c>
    </row>
    <row r="275">
      <c r="A275" t="inlineStr">
        <is>
          <t>274</t>
        </is>
      </c>
      <c r="B275" t="inlineStr">
        <is>
          <t>Chris Breen</t>
        </is>
      </c>
      <c r="C275" t="inlineStr">
        <is>
          <t>Croston Velo</t>
        </is>
      </c>
      <c r="D275" t="inlineStr">
        <is>
          <t>14</t>
        </is>
      </c>
      <c r="E275" s="2">
        <f>HYPERLINK("https://www.britishcycling.org.uk/points?person_id=811813&amp;year=2024&amp;type=national&amp;d=6","Results")</f>
        <v/>
      </c>
    </row>
    <row r="276">
      <c r="A276" t="inlineStr">
        <is>
          <t>275</t>
        </is>
      </c>
      <c r="B276" t="inlineStr">
        <is>
          <t>Mike Bridge</t>
        </is>
      </c>
      <c r="C276" t="inlineStr">
        <is>
          <t>Verulam CC</t>
        </is>
      </c>
      <c r="D276" t="inlineStr">
        <is>
          <t>14</t>
        </is>
      </c>
      <c r="E276" s="2">
        <f>HYPERLINK("https://www.britishcycling.org.uk/points?person_id=351566&amp;year=2024&amp;type=national&amp;d=6","Results")</f>
        <v/>
      </c>
    </row>
    <row r="277">
      <c r="A277" t="inlineStr">
        <is>
          <t>276</t>
        </is>
      </c>
      <c r="B277" t="inlineStr">
        <is>
          <t>Matt Steel</t>
        </is>
      </c>
      <c r="C277" t="inlineStr">
        <is>
          <t>Pronto Bikes</t>
        </is>
      </c>
      <c r="D277" t="inlineStr">
        <is>
          <t>14</t>
        </is>
      </c>
      <c r="E277" s="2">
        <f>HYPERLINK("https://www.britishcycling.org.uk/points?person_id=701683&amp;year=2024&amp;type=national&amp;d=6","Results")</f>
        <v/>
      </c>
    </row>
    <row r="278">
      <c r="A278" t="inlineStr">
        <is>
          <t>277</t>
        </is>
      </c>
      <c r="B278" t="inlineStr">
        <is>
          <t>Daniel Sweet</t>
        </is>
      </c>
      <c r="C278" t="inlineStr">
        <is>
          <t>Portishead Cycling Club</t>
        </is>
      </c>
      <c r="D278" t="inlineStr">
        <is>
          <t>14</t>
        </is>
      </c>
      <c r="E278" s="2">
        <f>HYPERLINK("https://www.britishcycling.org.uk/points?person_id=14514&amp;year=2024&amp;type=national&amp;d=6","Results")</f>
        <v/>
      </c>
    </row>
    <row r="279">
      <c r="A279" t="inlineStr">
        <is>
          <t>278</t>
        </is>
      </c>
      <c r="B279" t="inlineStr">
        <is>
          <t>Tom Wright</t>
        </is>
      </c>
      <c r="C279" t="inlineStr">
        <is>
          <t>Numplumz Mountainbikers</t>
        </is>
      </c>
      <c r="D279" t="inlineStr">
        <is>
          <t>14</t>
        </is>
      </c>
      <c r="E279" s="2">
        <f>HYPERLINK("https://www.britishcycling.org.uk/points?person_id=78222&amp;year=2024&amp;type=national&amp;d=6","Results")</f>
        <v/>
      </c>
    </row>
    <row r="280">
      <c r="A280" t="inlineStr">
        <is>
          <t>279</t>
        </is>
      </c>
      <c r="B280" t="inlineStr">
        <is>
          <t>Trevor Barton</t>
        </is>
      </c>
      <c r="C280" t="inlineStr">
        <is>
          <t>Warwick Lanterne Rouge C.C</t>
        </is>
      </c>
      <c r="D280" t="inlineStr">
        <is>
          <t>13</t>
        </is>
      </c>
      <c r="E280" s="2">
        <f>HYPERLINK("https://www.britishcycling.org.uk/points?person_id=872208&amp;year=2024&amp;type=national&amp;d=6","Results")</f>
        <v/>
      </c>
    </row>
    <row r="281">
      <c r="A281" t="inlineStr">
        <is>
          <t>280</t>
        </is>
      </c>
      <c r="B281" t="inlineStr">
        <is>
          <t>Hugo Reynolds</t>
        </is>
      </c>
      <c r="C281" t="inlineStr">
        <is>
          <t>Matlock CC</t>
        </is>
      </c>
      <c r="D281" t="inlineStr">
        <is>
          <t>13</t>
        </is>
      </c>
      <c r="E281" s="2">
        <f>HYPERLINK("https://www.britishcycling.org.uk/points?person_id=14550&amp;year=2024&amp;type=national&amp;d=6","Results")</f>
        <v/>
      </c>
    </row>
    <row r="282">
      <c r="A282" t="inlineStr">
        <is>
          <t>281</t>
        </is>
      </c>
      <c r="B282" t="inlineStr">
        <is>
          <t>Mostyn Brown</t>
        </is>
      </c>
      <c r="C282" t="inlineStr">
        <is>
          <t>Cowley Road Condors</t>
        </is>
      </c>
      <c r="D282" t="inlineStr">
        <is>
          <t>12</t>
        </is>
      </c>
      <c r="E282" s="2">
        <f>HYPERLINK("https://www.britishcycling.org.uk/points?person_id=105778&amp;year=2024&amp;type=national&amp;d=6","Results")</f>
        <v/>
      </c>
    </row>
    <row r="283">
      <c r="A283" t="inlineStr">
        <is>
          <t>282</t>
        </is>
      </c>
      <c r="B283" t="inlineStr">
        <is>
          <t>Adam Crawford</t>
        </is>
      </c>
      <c r="C283" t="inlineStr"/>
      <c r="D283" t="inlineStr">
        <is>
          <t>12</t>
        </is>
      </c>
      <c r="E283" s="2">
        <f>HYPERLINK("https://www.britishcycling.org.uk/points?person_id=1090459&amp;year=2024&amp;type=national&amp;d=6","Results")</f>
        <v/>
      </c>
    </row>
    <row r="284">
      <c r="A284" t="inlineStr">
        <is>
          <t>283</t>
        </is>
      </c>
      <c r="B284" t="inlineStr">
        <is>
          <t>Ben Dixon</t>
        </is>
      </c>
      <c r="C284" t="inlineStr">
        <is>
          <t>Royal Navy Cycling</t>
        </is>
      </c>
      <c r="D284" t="inlineStr">
        <is>
          <t>12</t>
        </is>
      </c>
      <c r="E284" s="2">
        <f>HYPERLINK("https://www.britishcycling.org.uk/points?person_id=451107&amp;year=2024&amp;type=national&amp;d=6","Results")</f>
        <v/>
      </c>
    </row>
    <row r="285">
      <c r="A285" t="inlineStr">
        <is>
          <t>284</t>
        </is>
      </c>
      <c r="B285" t="inlineStr">
        <is>
          <t>Ross Litherland</t>
        </is>
      </c>
      <c r="C285" t="inlineStr"/>
      <c r="D285" t="inlineStr">
        <is>
          <t>12</t>
        </is>
      </c>
      <c r="E285" s="2">
        <f>HYPERLINK("https://www.britishcycling.org.uk/points?person_id=200603&amp;year=2024&amp;type=national&amp;d=6","Results")</f>
        <v/>
      </c>
    </row>
    <row r="286">
      <c r="A286" t="inlineStr">
        <is>
          <t>285</t>
        </is>
      </c>
      <c r="B286" t="inlineStr">
        <is>
          <t>Iwan Morton</t>
        </is>
      </c>
      <c r="C286" t="inlineStr">
        <is>
          <t>Pontypool RCC</t>
        </is>
      </c>
      <c r="D286" t="inlineStr">
        <is>
          <t>12</t>
        </is>
      </c>
      <c r="E286" s="2">
        <f>HYPERLINK("https://www.britishcycling.org.uk/points?person_id=235696&amp;year=2024&amp;type=national&amp;d=6","Results")</f>
        <v/>
      </c>
    </row>
    <row r="287">
      <c r="A287" t="inlineStr">
        <is>
          <t>286</t>
        </is>
      </c>
      <c r="B287" t="inlineStr">
        <is>
          <t>Jumpei Nakayama</t>
        </is>
      </c>
      <c r="C287" t="inlineStr">
        <is>
          <t>Kingston Wheelers CC</t>
        </is>
      </c>
      <c r="D287" t="inlineStr">
        <is>
          <t>12</t>
        </is>
      </c>
      <c r="E287" s="2">
        <f>HYPERLINK("https://www.britishcycling.org.uk/points?person_id=269855&amp;year=2024&amp;type=national&amp;d=6","Results")</f>
        <v/>
      </c>
    </row>
    <row r="288">
      <c r="A288" t="inlineStr">
        <is>
          <t>287</t>
        </is>
      </c>
      <c r="B288" t="inlineStr">
        <is>
          <t>Roger Prior</t>
        </is>
      </c>
      <c r="C288" t="inlineStr">
        <is>
          <t>VC Jericho</t>
        </is>
      </c>
      <c r="D288" t="inlineStr">
        <is>
          <t>12</t>
        </is>
      </c>
      <c r="E288" s="2">
        <f>HYPERLINK("https://www.britishcycling.org.uk/points?person_id=107121&amp;year=2024&amp;type=national&amp;d=6","Results")</f>
        <v/>
      </c>
    </row>
    <row r="289">
      <c r="A289" t="inlineStr">
        <is>
          <t>288</t>
        </is>
      </c>
      <c r="B289" t="inlineStr">
        <is>
          <t>Benedict Wallis</t>
        </is>
      </c>
      <c r="C289" t="inlineStr">
        <is>
          <t>Bristol RC</t>
        </is>
      </c>
      <c r="D289" t="inlineStr">
        <is>
          <t>12</t>
        </is>
      </c>
      <c r="E289" s="2">
        <f>HYPERLINK("https://www.britishcycling.org.uk/points?person_id=770033&amp;year=2024&amp;type=national&amp;d=6","Results")</f>
        <v/>
      </c>
    </row>
    <row r="290">
      <c r="A290" t="inlineStr">
        <is>
          <t>289</t>
        </is>
      </c>
      <c r="B290" t="inlineStr">
        <is>
          <t>Ben Cavers</t>
        </is>
      </c>
      <c r="C290" t="inlineStr">
        <is>
          <t>4T+ Cyclopark</t>
        </is>
      </c>
      <c r="D290" t="inlineStr">
        <is>
          <t>11</t>
        </is>
      </c>
      <c r="E290" s="2">
        <f>HYPERLINK("https://www.britishcycling.org.uk/points?person_id=549853&amp;year=2024&amp;type=national&amp;d=6","Results")</f>
        <v/>
      </c>
    </row>
    <row r="291">
      <c r="A291" t="inlineStr">
        <is>
          <t>290</t>
        </is>
      </c>
      <c r="B291" t="inlineStr">
        <is>
          <t>Ed Drucquer</t>
        </is>
      </c>
      <c r="C291" t="inlineStr">
        <is>
          <t>All Terrain Cycles Ride In Peace</t>
        </is>
      </c>
      <c r="D291" t="inlineStr">
        <is>
          <t>11</t>
        </is>
      </c>
      <c r="E291" s="2">
        <f>HYPERLINK("https://www.britishcycling.org.uk/points?person_id=170927&amp;year=2024&amp;type=national&amp;d=6","Results")</f>
        <v/>
      </c>
    </row>
    <row r="292">
      <c r="A292" t="inlineStr">
        <is>
          <t>291</t>
        </is>
      </c>
      <c r="B292" t="inlineStr">
        <is>
          <t>Rob Dyde</t>
        </is>
      </c>
      <c r="C292" t="inlineStr">
        <is>
          <t>Pembrokeshire Velo</t>
        </is>
      </c>
      <c r="D292" t="inlineStr">
        <is>
          <t>11</t>
        </is>
      </c>
      <c r="E292" s="2">
        <f>HYPERLINK("https://www.britishcycling.org.uk/points?person_id=531746&amp;year=2024&amp;type=national&amp;d=6","Results")</f>
        <v/>
      </c>
    </row>
    <row r="293">
      <c r="A293" t="inlineStr">
        <is>
          <t>292</t>
        </is>
      </c>
      <c r="B293" t="inlineStr">
        <is>
          <t>Alan Ward</t>
        </is>
      </c>
      <c r="C293" t="inlineStr">
        <is>
          <t>Bristol South CC</t>
        </is>
      </c>
      <c r="D293" t="inlineStr">
        <is>
          <t>11</t>
        </is>
      </c>
      <c r="E293" s="2">
        <f>HYPERLINK("https://www.britishcycling.org.uk/points?person_id=474756&amp;year=2024&amp;type=national&amp;d=6","Results")</f>
        <v/>
      </c>
    </row>
    <row r="294">
      <c r="A294" t="inlineStr">
        <is>
          <t>293</t>
        </is>
      </c>
      <c r="B294" t="inlineStr">
        <is>
          <t>Adam Dickie</t>
        </is>
      </c>
      <c r="C294" t="inlineStr"/>
      <c r="D294" t="inlineStr">
        <is>
          <t>10</t>
        </is>
      </c>
      <c r="E294" s="2">
        <f>HYPERLINK("https://www.britishcycling.org.uk/points?person_id=1132077&amp;year=2024&amp;type=national&amp;d=6","Results")</f>
        <v/>
      </c>
    </row>
    <row r="295">
      <c r="A295" t="inlineStr">
        <is>
          <t>294</t>
        </is>
      </c>
      <c r="B295" t="inlineStr">
        <is>
          <t>Jonathan Harris</t>
        </is>
      </c>
      <c r="C295" t="inlineStr">
        <is>
          <t>PMR</t>
        </is>
      </c>
      <c r="D295" t="inlineStr">
        <is>
          <t>10</t>
        </is>
      </c>
      <c r="E295" s="2">
        <f>HYPERLINK("https://www.britishcycling.org.uk/points?person_id=182291&amp;year=2024&amp;type=national&amp;d=6","Results")</f>
        <v/>
      </c>
    </row>
    <row r="296">
      <c r="A296" t="inlineStr">
        <is>
          <t>295</t>
        </is>
      </c>
      <c r="B296" t="inlineStr">
        <is>
          <t>Charles Mortimer</t>
        </is>
      </c>
      <c r="C296" t="inlineStr"/>
      <c r="D296" t="inlineStr">
        <is>
          <t>10</t>
        </is>
      </c>
      <c r="E296" s="2">
        <f>HYPERLINK("https://www.britishcycling.org.uk/points?person_id=1158419&amp;year=2024&amp;type=national&amp;d=6","Results")</f>
        <v/>
      </c>
    </row>
    <row r="297">
      <c r="A297" t="inlineStr">
        <is>
          <t>296</t>
        </is>
      </c>
      <c r="B297" t="inlineStr">
        <is>
          <t>John Odell</t>
        </is>
      </c>
      <c r="C297" t="inlineStr">
        <is>
          <t>Nottingham Clarion CC</t>
        </is>
      </c>
      <c r="D297" t="inlineStr">
        <is>
          <t>10</t>
        </is>
      </c>
      <c r="E297" s="2">
        <f>HYPERLINK("https://www.britishcycling.org.uk/points?person_id=473&amp;year=2024&amp;type=national&amp;d=6","Results")</f>
        <v/>
      </c>
    </row>
    <row r="298">
      <c r="A298" t="inlineStr">
        <is>
          <t>297</t>
        </is>
      </c>
      <c r="B298" t="inlineStr">
        <is>
          <t>Mark Richmond</t>
        </is>
      </c>
      <c r="C298" t="inlineStr"/>
      <c r="D298" t="inlineStr">
        <is>
          <t>10</t>
        </is>
      </c>
      <c r="E298" s="2">
        <f>HYPERLINK("https://www.britishcycling.org.uk/points?person_id=180735&amp;year=2024&amp;type=national&amp;d=6","Results")</f>
        <v/>
      </c>
    </row>
    <row r="299">
      <c r="A299" t="inlineStr">
        <is>
          <t>298</t>
        </is>
      </c>
      <c r="B299" t="inlineStr">
        <is>
          <t>Charles Thibault</t>
        </is>
      </c>
      <c r="C299" t="inlineStr">
        <is>
          <t>Bath Cycling Club</t>
        </is>
      </c>
      <c r="D299" t="inlineStr">
        <is>
          <t>10</t>
        </is>
      </c>
      <c r="E299" s="2">
        <f>HYPERLINK("https://www.britishcycling.org.uk/points?person_id=599655&amp;year=2024&amp;type=national&amp;d=6","Results")</f>
        <v/>
      </c>
    </row>
    <row r="300">
      <c r="A300" t="inlineStr">
        <is>
          <t>299</t>
        </is>
      </c>
      <c r="B300" t="inlineStr">
        <is>
          <t>Simon Howlett</t>
        </is>
      </c>
      <c r="C300" t="inlineStr">
        <is>
          <t>Stowmarket &amp; District CC</t>
        </is>
      </c>
      <c r="D300" t="inlineStr">
        <is>
          <t>9</t>
        </is>
      </c>
      <c r="E300" s="2">
        <f>HYPERLINK("https://www.britishcycling.org.uk/points?person_id=405205&amp;year=2024&amp;type=national&amp;d=6","Results")</f>
        <v/>
      </c>
    </row>
    <row r="301">
      <c r="A301" t="inlineStr">
        <is>
          <t>300</t>
        </is>
      </c>
      <c r="B301" t="inlineStr">
        <is>
          <t>James Norris</t>
        </is>
      </c>
      <c r="C301" t="inlineStr">
        <is>
          <t>Cinnamon Cafe-SaddleDrunk RT</t>
        </is>
      </c>
      <c r="D301" t="inlineStr">
        <is>
          <t>9</t>
        </is>
      </c>
      <c r="E301" s="2">
        <f>HYPERLINK("https://www.britishcycling.org.uk/points?person_id=20863&amp;year=2024&amp;type=national&amp;d=6","Results")</f>
        <v/>
      </c>
    </row>
    <row r="302">
      <c r="A302" t="inlineStr">
        <is>
          <t>301</t>
        </is>
      </c>
      <c r="B302" t="inlineStr">
        <is>
          <t>Mark Willis</t>
        </is>
      </c>
      <c r="C302" t="inlineStr">
        <is>
          <t>Army Cycling Union</t>
        </is>
      </c>
      <c r="D302" t="inlineStr">
        <is>
          <t>9</t>
        </is>
      </c>
      <c r="E302" s="2">
        <f>HYPERLINK("https://www.britishcycling.org.uk/points?person_id=782822&amp;year=2024&amp;type=national&amp;d=6","Results")</f>
        <v/>
      </c>
    </row>
    <row r="303">
      <c r="A303" t="inlineStr">
        <is>
          <t>302</t>
        </is>
      </c>
      <c r="B303" t="inlineStr">
        <is>
          <t>Mark Prinsloo</t>
        </is>
      </c>
      <c r="C303" t="inlineStr">
        <is>
          <t>VéloElite RC</t>
        </is>
      </c>
      <c r="D303" t="inlineStr">
        <is>
          <t>8</t>
        </is>
      </c>
      <c r="E303" s="2">
        <f>HYPERLINK("https://www.britishcycling.org.uk/points?person_id=326384&amp;year=2024&amp;type=national&amp;d=6","Results")</f>
        <v/>
      </c>
    </row>
    <row r="304">
      <c r="A304" t="inlineStr">
        <is>
          <t>303</t>
        </is>
      </c>
      <c r="B304" t="inlineStr">
        <is>
          <t>Duncan Rimmer</t>
        </is>
      </c>
      <c r="C304" t="inlineStr">
        <is>
          <t>Morden Cycle Racing Club</t>
        </is>
      </c>
      <c r="D304" t="inlineStr">
        <is>
          <t>8</t>
        </is>
      </c>
      <c r="E304" s="2">
        <f>HYPERLINK("https://www.britishcycling.org.uk/points?person_id=45766&amp;year=2024&amp;type=national&amp;d=6","Results")</f>
        <v/>
      </c>
    </row>
    <row r="305">
      <c r="A305" t="inlineStr">
        <is>
          <t>304</t>
        </is>
      </c>
      <c r="B305" t="inlineStr">
        <is>
          <t>Adrian Tuckley</t>
        </is>
      </c>
      <c r="C305" t="inlineStr"/>
      <c r="D305" t="inlineStr">
        <is>
          <t>8</t>
        </is>
      </c>
      <c r="E305" s="2">
        <f>HYPERLINK("https://www.britishcycling.org.uk/points?person_id=576229&amp;year=2024&amp;type=national&amp;d=6","Results")</f>
        <v/>
      </c>
    </row>
    <row r="306">
      <c r="A306" t="inlineStr">
        <is>
          <t>305</t>
        </is>
      </c>
      <c r="B306" t="inlineStr">
        <is>
          <t>Richard Watkins</t>
        </is>
      </c>
      <c r="C306" t="inlineStr"/>
      <c r="D306" t="inlineStr">
        <is>
          <t>8</t>
        </is>
      </c>
      <c r="E306" s="2">
        <f>HYPERLINK("https://www.britishcycling.org.uk/points?person_id=1162146&amp;year=2024&amp;type=national&amp;d=6","Results")</f>
        <v/>
      </c>
    </row>
    <row r="307">
      <c r="A307" t="inlineStr">
        <is>
          <t>306</t>
        </is>
      </c>
      <c r="B307" t="inlineStr">
        <is>
          <t>David Whittaker</t>
        </is>
      </c>
      <c r="C307" t="inlineStr"/>
      <c r="D307" t="inlineStr">
        <is>
          <t>8</t>
        </is>
      </c>
      <c r="E307" s="2">
        <f>HYPERLINK("https://www.britishcycling.org.uk/points?person_id=304712&amp;year=2024&amp;type=national&amp;d=6","Results")</f>
        <v/>
      </c>
    </row>
    <row r="308">
      <c r="A308" t="inlineStr">
        <is>
          <t>307</t>
        </is>
      </c>
      <c r="B308" t="inlineStr">
        <is>
          <t>Brian Duncan</t>
        </is>
      </c>
      <c r="C308" t="inlineStr">
        <is>
          <t>Sparta Breda</t>
        </is>
      </c>
      <c r="D308" t="inlineStr">
        <is>
          <t>7</t>
        </is>
      </c>
      <c r="E308" s="2">
        <f>HYPERLINK("https://www.britishcycling.org.uk/points?person_id=11643&amp;year=2024&amp;type=national&amp;d=6","Results")</f>
        <v/>
      </c>
    </row>
    <row r="309">
      <c r="A309" t="inlineStr">
        <is>
          <t>308</t>
        </is>
      </c>
      <c r="B309" t="inlineStr">
        <is>
          <t>Mark Farries</t>
        </is>
      </c>
      <c r="C309" t="inlineStr">
        <is>
          <t>Warwick Lanterne Rouge C.C</t>
        </is>
      </c>
      <c r="D309" t="inlineStr">
        <is>
          <t>7</t>
        </is>
      </c>
      <c r="E309" s="2">
        <f>HYPERLINK("https://www.britishcycling.org.uk/points?person_id=547271&amp;year=2024&amp;type=national&amp;d=6","Results")</f>
        <v/>
      </c>
    </row>
    <row r="310">
      <c r="A310" t="inlineStr">
        <is>
          <t>309</t>
        </is>
      </c>
      <c r="B310" t="inlineStr">
        <is>
          <t>John Finnerty</t>
        </is>
      </c>
      <c r="C310" t="inlineStr">
        <is>
          <t>Twickenham CC</t>
        </is>
      </c>
      <c r="D310" t="inlineStr">
        <is>
          <t>7</t>
        </is>
      </c>
      <c r="E310" s="2">
        <f>HYPERLINK("https://www.britishcycling.org.uk/points?person_id=633605&amp;year=2024&amp;type=national&amp;d=6","Results")</f>
        <v/>
      </c>
    </row>
    <row r="311">
      <c r="A311" t="inlineStr">
        <is>
          <t>310</t>
        </is>
      </c>
      <c r="B311" t="inlineStr">
        <is>
          <t>Barry Gibson</t>
        </is>
      </c>
      <c r="C311" t="inlineStr">
        <is>
          <t>Deeside Thistle CC</t>
        </is>
      </c>
      <c r="D311" t="inlineStr">
        <is>
          <t>7</t>
        </is>
      </c>
      <c r="E311" s="2">
        <f>HYPERLINK("https://www.britishcycling.org.uk/points?person_id=751589&amp;year=2024&amp;type=national&amp;d=6","Results")</f>
        <v/>
      </c>
    </row>
    <row r="312">
      <c r="A312" t="inlineStr">
        <is>
          <t>311</t>
        </is>
      </c>
      <c r="B312" t="inlineStr">
        <is>
          <t>Jack Sedgwick</t>
        </is>
      </c>
      <c r="C312" t="inlineStr">
        <is>
          <t>VC Londres</t>
        </is>
      </c>
      <c r="D312" t="inlineStr">
        <is>
          <t>7</t>
        </is>
      </c>
      <c r="E312" s="2">
        <f>HYPERLINK("https://www.britishcycling.org.uk/points?person_id=99288&amp;year=2024&amp;type=national&amp;d=6","Results")</f>
        <v/>
      </c>
    </row>
    <row r="313">
      <c r="A313" t="inlineStr">
        <is>
          <t>312</t>
        </is>
      </c>
      <c r="B313" t="inlineStr">
        <is>
          <t>Wayne Thomas</t>
        </is>
      </c>
      <c r="C313" t="inlineStr">
        <is>
          <t>Pontypool RCC</t>
        </is>
      </c>
      <c r="D313" t="inlineStr">
        <is>
          <t>7</t>
        </is>
      </c>
      <c r="E313" s="2">
        <f>HYPERLINK("https://www.britishcycling.org.uk/points?person_id=40929&amp;year=2024&amp;type=national&amp;d=6","Results")</f>
        <v/>
      </c>
    </row>
    <row r="314">
      <c r="A314" t="inlineStr">
        <is>
          <t>313</t>
        </is>
      </c>
      <c r="B314" t="inlineStr">
        <is>
          <t>Benjamin Caine</t>
        </is>
      </c>
      <c r="C314" t="inlineStr">
        <is>
          <t>Dynamic Rides CC</t>
        </is>
      </c>
      <c r="D314" t="inlineStr">
        <is>
          <t>6</t>
        </is>
      </c>
      <c r="E314" s="2">
        <f>HYPERLINK("https://www.britishcycling.org.uk/points?person_id=101996&amp;year=2024&amp;type=national&amp;d=6","Results")</f>
        <v/>
      </c>
    </row>
    <row r="315">
      <c r="A315" t="inlineStr">
        <is>
          <t>314</t>
        </is>
      </c>
      <c r="B315" t="inlineStr">
        <is>
          <t>Kevin Dennison</t>
        </is>
      </c>
      <c r="C315" t="inlineStr">
        <is>
          <t>Otley CC</t>
        </is>
      </c>
      <c r="D315" t="inlineStr">
        <is>
          <t>6</t>
        </is>
      </c>
      <c r="E315" s="2">
        <f>HYPERLINK("https://www.britishcycling.org.uk/points?person_id=1075028&amp;year=2024&amp;type=national&amp;d=6","Results")</f>
        <v/>
      </c>
    </row>
    <row r="316">
      <c r="A316" t="inlineStr">
        <is>
          <t>315</t>
        </is>
      </c>
      <c r="B316" t="inlineStr">
        <is>
          <t>Darran Eggleton</t>
        </is>
      </c>
      <c r="C316" t="inlineStr">
        <is>
          <t>Amersham Road Cycling Club</t>
        </is>
      </c>
      <c r="D316" t="inlineStr">
        <is>
          <t>6</t>
        </is>
      </c>
      <c r="E316" s="2">
        <f>HYPERLINK("https://www.britishcycling.org.uk/points?person_id=540685&amp;year=2024&amp;type=national&amp;d=6","Results")</f>
        <v/>
      </c>
    </row>
    <row r="317">
      <c r="A317" t="inlineStr">
        <is>
          <t>316</t>
        </is>
      </c>
      <c r="B317" t="inlineStr">
        <is>
          <t>Daniel Guest</t>
        </is>
      </c>
      <c r="C317" t="inlineStr">
        <is>
          <t>Magspeed Racing</t>
        </is>
      </c>
      <c r="D317" t="inlineStr">
        <is>
          <t>6</t>
        </is>
      </c>
      <c r="E317" s="2">
        <f>HYPERLINK("https://www.britishcycling.org.uk/points?person_id=20406&amp;year=2024&amp;type=national&amp;d=6","Results")</f>
        <v/>
      </c>
    </row>
    <row r="318">
      <c r="A318" t="inlineStr">
        <is>
          <t>317</t>
        </is>
      </c>
      <c r="B318" t="inlineStr">
        <is>
          <t>Steve Hambling</t>
        </is>
      </c>
      <c r="C318" t="inlineStr"/>
      <c r="D318" t="inlineStr">
        <is>
          <t>6</t>
        </is>
      </c>
      <c r="E318" s="2">
        <f>HYPERLINK("https://www.britishcycling.org.uk/points?person_id=79257&amp;year=2024&amp;type=national&amp;d=6","Results")</f>
        <v/>
      </c>
    </row>
    <row r="319">
      <c r="A319" t="inlineStr">
        <is>
          <t>318</t>
        </is>
      </c>
      <c r="B319" t="inlineStr">
        <is>
          <t>Stuart Hibbert</t>
        </is>
      </c>
      <c r="C319" t="inlineStr"/>
      <c r="D319" t="inlineStr">
        <is>
          <t>6</t>
        </is>
      </c>
      <c r="E319" s="2">
        <f>HYPERLINK("https://www.britishcycling.org.uk/points?person_id=201900&amp;year=2024&amp;type=national&amp;d=6","Results")</f>
        <v/>
      </c>
    </row>
    <row r="320">
      <c r="A320" t="inlineStr">
        <is>
          <t>319</t>
        </is>
      </c>
      <c r="B320" t="inlineStr">
        <is>
          <t>Timothy Lawn</t>
        </is>
      </c>
      <c r="C320" t="inlineStr">
        <is>
          <t>Portsmouth North End CC</t>
        </is>
      </c>
      <c r="D320" t="inlineStr">
        <is>
          <t>6</t>
        </is>
      </c>
      <c r="E320" s="2">
        <f>HYPERLINK("https://www.britishcycling.org.uk/points?person_id=795224&amp;year=2024&amp;type=national&amp;d=6","Results")</f>
        <v/>
      </c>
    </row>
    <row r="321">
      <c r="A321" t="inlineStr">
        <is>
          <t>320</t>
        </is>
      </c>
      <c r="B321" t="inlineStr">
        <is>
          <t>Mike Pears</t>
        </is>
      </c>
      <c r="C321" t="inlineStr">
        <is>
          <t>VC Revolution</t>
        </is>
      </c>
      <c r="D321" t="inlineStr">
        <is>
          <t>6</t>
        </is>
      </c>
      <c r="E321" s="2">
        <f>HYPERLINK("https://www.britishcycling.org.uk/points?person_id=831679&amp;year=2024&amp;type=national&amp;d=6","Results")</f>
        <v/>
      </c>
    </row>
    <row r="322">
      <c r="A322" t="inlineStr">
        <is>
          <t>321</t>
        </is>
      </c>
      <c r="B322" t="inlineStr">
        <is>
          <t>Marcus Shields</t>
        </is>
      </c>
      <c r="C322" t="inlineStr">
        <is>
          <t>Ayr Roads Cycling Club</t>
        </is>
      </c>
      <c r="D322" t="inlineStr">
        <is>
          <t>6</t>
        </is>
      </c>
      <c r="E322" s="2">
        <f>HYPERLINK("https://www.britishcycling.org.uk/points?person_id=245012&amp;year=2024&amp;type=national&amp;d=6","Results")</f>
        <v/>
      </c>
    </row>
    <row r="323">
      <c r="A323" t="inlineStr">
        <is>
          <t>322</t>
        </is>
      </c>
      <c r="B323" t="inlineStr">
        <is>
          <t>Andrew Simpson</t>
        </is>
      </c>
      <c r="C323" t="inlineStr">
        <is>
          <t>Dundee Thistle RC</t>
        </is>
      </c>
      <c r="D323" t="inlineStr">
        <is>
          <t>6</t>
        </is>
      </c>
      <c r="E323" s="2">
        <f>HYPERLINK("https://www.britishcycling.org.uk/points?person_id=771822&amp;year=2024&amp;type=national&amp;d=6","Results")</f>
        <v/>
      </c>
    </row>
    <row r="324">
      <c r="A324" t="inlineStr">
        <is>
          <t>323</t>
        </is>
      </c>
      <c r="B324" t="inlineStr">
        <is>
          <t>Patrick Ashcroft</t>
        </is>
      </c>
      <c r="C324" t="inlineStr">
        <is>
          <t>Reading CC</t>
        </is>
      </c>
      <c r="D324" t="inlineStr">
        <is>
          <t>5</t>
        </is>
      </c>
      <c r="E324" s="2">
        <f>HYPERLINK("https://www.britishcycling.org.uk/points?person_id=331098&amp;year=2024&amp;type=national&amp;d=6","Results")</f>
        <v/>
      </c>
    </row>
    <row r="325">
      <c r="A325" t="inlineStr">
        <is>
          <t>324</t>
        </is>
      </c>
      <c r="B325" t="inlineStr">
        <is>
          <t>Paul Bailey</t>
        </is>
      </c>
      <c r="C325" t="inlineStr">
        <is>
          <t>Smiley's Flight Club</t>
        </is>
      </c>
      <c r="D325" t="inlineStr">
        <is>
          <t>5</t>
        </is>
      </c>
      <c r="E325" s="2">
        <f>HYPERLINK("https://www.britishcycling.org.uk/points?person_id=17164&amp;year=2024&amp;type=national&amp;d=6","Results")</f>
        <v/>
      </c>
    </row>
    <row r="326">
      <c r="A326" t="inlineStr">
        <is>
          <t>325</t>
        </is>
      </c>
      <c r="B326" t="inlineStr">
        <is>
          <t>Edward Bull</t>
        </is>
      </c>
      <c r="C326" t="inlineStr">
        <is>
          <t>Stowmarket &amp; District CC</t>
        </is>
      </c>
      <c r="D326" t="inlineStr">
        <is>
          <t>5</t>
        </is>
      </c>
      <c r="E326" s="2">
        <f>HYPERLINK("https://www.britishcycling.org.uk/points?person_id=567207&amp;year=2024&amp;type=national&amp;d=6","Results")</f>
        <v/>
      </c>
    </row>
    <row r="327">
      <c r="A327" t="inlineStr">
        <is>
          <t>326</t>
        </is>
      </c>
      <c r="B327" t="inlineStr">
        <is>
          <t>Barna Eichinger</t>
        </is>
      </c>
      <c r="C327" t="inlineStr"/>
      <c r="D327" t="inlineStr">
        <is>
          <t>5</t>
        </is>
      </c>
      <c r="E327" s="2">
        <f>HYPERLINK("https://www.britishcycling.org.uk/points?person_id=1153988&amp;year=2024&amp;type=national&amp;d=6","Results")</f>
        <v/>
      </c>
    </row>
    <row r="328">
      <c r="A328" t="inlineStr">
        <is>
          <t>327</t>
        </is>
      </c>
      <c r="B328" t="inlineStr">
        <is>
          <t>Ewan Elliott</t>
        </is>
      </c>
      <c r="C328" t="inlineStr">
        <is>
          <t>Welwyn Wheelers CC</t>
        </is>
      </c>
      <c r="D328" t="inlineStr">
        <is>
          <t>5</t>
        </is>
      </c>
      <c r="E328" s="2">
        <f>HYPERLINK("https://www.britishcycling.org.uk/points?person_id=549158&amp;year=2024&amp;type=national&amp;d=6","Results")</f>
        <v/>
      </c>
    </row>
    <row r="329">
      <c r="A329" t="inlineStr">
        <is>
          <t>328</t>
        </is>
      </c>
      <c r="B329" t="inlineStr">
        <is>
          <t>Gareth Hacker</t>
        </is>
      </c>
      <c r="C329" t="inlineStr">
        <is>
          <t>4T+ Cyclopark</t>
        </is>
      </c>
      <c r="D329" t="inlineStr">
        <is>
          <t>5</t>
        </is>
      </c>
      <c r="E329" s="2">
        <f>HYPERLINK("https://www.britishcycling.org.uk/points?person_id=645029&amp;year=2024&amp;type=national&amp;d=6","Results")</f>
        <v/>
      </c>
    </row>
    <row r="330">
      <c r="A330" t="inlineStr">
        <is>
          <t>329</t>
        </is>
      </c>
      <c r="B330" t="inlineStr">
        <is>
          <t>Chris Holmes</t>
        </is>
      </c>
      <c r="C330" t="inlineStr">
        <is>
          <t>VC Norwich</t>
        </is>
      </c>
      <c r="D330" t="inlineStr">
        <is>
          <t>5</t>
        </is>
      </c>
      <c r="E330" s="2">
        <f>HYPERLINK("https://www.britishcycling.org.uk/points?person_id=31655&amp;year=2024&amp;type=national&amp;d=6","Results")</f>
        <v/>
      </c>
    </row>
    <row r="331">
      <c r="A331" t="inlineStr">
        <is>
          <t>330</t>
        </is>
      </c>
      <c r="B331" t="inlineStr">
        <is>
          <t>Kevin Lister</t>
        </is>
      </c>
      <c r="C331" t="inlineStr">
        <is>
          <t>Kenilworth Wheelers CC</t>
        </is>
      </c>
      <c r="D331" t="inlineStr">
        <is>
          <t>5</t>
        </is>
      </c>
      <c r="E331" s="2">
        <f>HYPERLINK("https://www.britishcycling.org.uk/points?person_id=119632&amp;year=2024&amp;type=national&amp;d=6","Results")</f>
        <v/>
      </c>
    </row>
    <row r="332">
      <c r="A332" t="inlineStr">
        <is>
          <t>331</t>
        </is>
      </c>
      <c r="B332" t="inlineStr">
        <is>
          <t>Bob McGlue</t>
        </is>
      </c>
      <c r="C332" t="inlineStr">
        <is>
          <t>Ride Revolution Coaching</t>
        </is>
      </c>
      <c r="D332" t="inlineStr">
        <is>
          <t>5</t>
        </is>
      </c>
      <c r="E332" s="2">
        <f>HYPERLINK("https://www.britishcycling.org.uk/points?person_id=404032&amp;year=2024&amp;type=national&amp;d=6","Results")</f>
        <v/>
      </c>
    </row>
    <row r="333">
      <c r="A333" t="inlineStr">
        <is>
          <t>332</t>
        </is>
      </c>
      <c r="B333" t="inlineStr">
        <is>
          <t>Jorge Ribeiro Manso</t>
        </is>
      </c>
      <c r="C333" t="inlineStr">
        <is>
          <t>Velo Club Venta</t>
        </is>
      </c>
      <c r="D333" t="inlineStr">
        <is>
          <t>5</t>
        </is>
      </c>
      <c r="E333" s="2">
        <f>HYPERLINK("https://www.britishcycling.org.uk/points?person_id=191595&amp;year=2024&amp;type=national&amp;d=6","Results")</f>
        <v/>
      </c>
    </row>
    <row r="334">
      <c r="A334" t="inlineStr">
        <is>
          <t>333</t>
        </is>
      </c>
      <c r="B334" t="inlineStr">
        <is>
          <t>Aaron Barry</t>
        </is>
      </c>
      <c r="C334" t="inlineStr">
        <is>
          <t>Sotonia CC</t>
        </is>
      </c>
      <c r="D334" t="inlineStr">
        <is>
          <t>4</t>
        </is>
      </c>
      <c r="E334" s="2">
        <f>HYPERLINK("https://www.britishcycling.org.uk/points?person_id=253851&amp;year=2024&amp;type=national&amp;d=6","Results")</f>
        <v/>
      </c>
    </row>
    <row r="335">
      <c r="A335" t="inlineStr">
        <is>
          <t>334</t>
        </is>
      </c>
      <c r="B335" t="inlineStr">
        <is>
          <t>Michael Daniels</t>
        </is>
      </c>
      <c r="C335" t="inlineStr">
        <is>
          <t>Team Tor 2000 Kalas</t>
        </is>
      </c>
      <c r="D335" t="inlineStr">
        <is>
          <t>4</t>
        </is>
      </c>
      <c r="E335" s="2">
        <f>HYPERLINK("https://www.britishcycling.org.uk/points?person_id=99135&amp;year=2024&amp;type=national&amp;d=6","Results")</f>
        <v/>
      </c>
    </row>
    <row r="336">
      <c r="A336" t="inlineStr">
        <is>
          <t>335</t>
        </is>
      </c>
      <c r="B336" t="inlineStr">
        <is>
          <t>Ondrej Humplik</t>
        </is>
      </c>
      <c r="C336" t="inlineStr">
        <is>
          <t>Kettering CC</t>
        </is>
      </c>
      <c r="D336" t="inlineStr">
        <is>
          <t>4</t>
        </is>
      </c>
      <c r="E336" s="2">
        <f>HYPERLINK("https://www.britishcycling.org.uk/points?person_id=301697&amp;year=2024&amp;type=national&amp;d=6","Results")</f>
        <v/>
      </c>
    </row>
    <row r="337">
      <c r="A337" t="inlineStr">
        <is>
          <t>336</t>
        </is>
      </c>
      <c r="B337" t="inlineStr">
        <is>
          <t>Tony Scott</t>
        </is>
      </c>
      <c r="C337" t="inlineStr">
        <is>
          <t>GTR - Return To Life</t>
        </is>
      </c>
      <c r="D337" t="inlineStr">
        <is>
          <t>4</t>
        </is>
      </c>
      <c r="E337" s="2">
        <f>HYPERLINK("https://www.britishcycling.org.uk/points?person_id=239935&amp;year=2024&amp;type=national&amp;d=6","Results")</f>
        <v/>
      </c>
    </row>
    <row r="338">
      <c r="A338" t="inlineStr">
        <is>
          <t>337</t>
        </is>
      </c>
      <c r="B338" t="inlineStr">
        <is>
          <t>Christopher Smith</t>
        </is>
      </c>
      <c r="C338" t="inlineStr">
        <is>
          <t>Bronte Wheelers - Neophix Eng</t>
        </is>
      </c>
      <c r="D338" t="inlineStr">
        <is>
          <t>4</t>
        </is>
      </c>
      <c r="E338" s="2">
        <f>HYPERLINK("https://www.britishcycling.org.uk/points?person_id=8253&amp;year=2024&amp;type=national&amp;d=6","Results")</f>
        <v/>
      </c>
    </row>
    <row r="339">
      <c r="A339" t="inlineStr">
        <is>
          <t>338</t>
        </is>
      </c>
      <c r="B339" t="inlineStr">
        <is>
          <t>Gary Spencer</t>
        </is>
      </c>
      <c r="C339" t="inlineStr">
        <is>
          <t>Shibden Cycling Club</t>
        </is>
      </c>
      <c r="D339" t="inlineStr">
        <is>
          <t>4</t>
        </is>
      </c>
      <c r="E339" s="2">
        <f>HYPERLINK("https://www.britishcycling.org.uk/points?person_id=942473&amp;year=2024&amp;type=national&amp;d=6","Results")</f>
        <v/>
      </c>
    </row>
    <row r="340">
      <c r="A340" t="inlineStr">
        <is>
          <t>339</t>
        </is>
      </c>
      <c r="B340" t="inlineStr">
        <is>
          <t>Edwin Ward</t>
        </is>
      </c>
      <c r="C340" t="inlineStr"/>
      <c r="D340" t="inlineStr">
        <is>
          <t>4</t>
        </is>
      </c>
      <c r="E340" s="2">
        <f>HYPERLINK("https://www.britishcycling.org.uk/points?person_id=444387&amp;year=2024&amp;type=national&amp;d=6","Results")</f>
        <v/>
      </c>
    </row>
    <row r="341">
      <c r="A341" t="inlineStr">
        <is>
          <t>340</t>
        </is>
      </c>
      <c r="B341" t="inlineStr">
        <is>
          <t>Andrew Watson-Smith</t>
        </is>
      </c>
      <c r="C341" t="inlineStr">
        <is>
          <t>6AM Cycling</t>
        </is>
      </c>
      <c r="D341" t="inlineStr">
        <is>
          <t>4</t>
        </is>
      </c>
      <c r="E341" s="2">
        <f>HYPERLINK("https://www.britishcycling.org.uk/points?person_id=224024&amp;year=2024&amp;type=national&amp;d=6","Results")</f>
        <v/>
      </c>
    </row>
    <row r="342">
      <c r="A342" t="inlineStr">
        <is>
          <t>341</t>
        </is>
      </c>
      <c r="B342" t="inlineStr">
        <is>
          <t>Matt Williams</t>
        </is>
      </c>
      <c r="C342" t="inlineStr">
        <is>
          <t>RR23 - runandride.co.uk</t>
        </is>
      </c>
      <c r="D342" t="inlineStr">
        <is>
          <t>4</t>
        </is>
      </c>
      <c r="E342" s="2">
        <f>HYPERLINK("https://www.britishcycling.org.uk/points?person_id=2340&amp;year=2024&amp;type=national&amp;d=6","Results")</f>
        <v/>
      </c>
    </row>
    <row r="343">
      <c r="A343" t="inlineStr">
        <is>
          <t>342</t>
        </is>
      </c>
      <c r="B343" t="inlineStr">
        <is>
          <t>John Abbott</t>
        </is>
      </c>
      <c r="C343" t="inlineStr">
        <is>
          <t>Welland Valley CC</t>
        </is>
      </c>
      <c r="D343" t="inlineStr">
        <is>
          <t>3</t>
        </is>
      </c>
      <c r="E343" s="2">
        <f>HYPERLINK("https://www.britishcycling.org.uk/points?person_id=844618&amp;year=2024&amp;type=national&amp;d=6","Results")</f>
        <v/>
      </c>
    </row>
    <row r="344">
      <c r="A344" t="inlineStr">
        <is>
          <t>343</t>
        </is>
      </c>
      <c r="B344" t="inlineStr">
        <is>
          <t>William Duguid</t>
        </is>
      </c>
      <c r="C344" t="inlineStr">
        <is>
          <t>Royal Navy Cycling</t>
        </is>
      </c>
      <c r="D344" t="inlineStr">
        <is>
          <t>3</t>
        </is>
      </c>
      <c r="E344" s="2">
        <f>HYPERLINK("https://www.britishcycling.org.uk/points?person_id=385241&amp;year=2024&amp;type=national&amp;d=6","Results")</f>
        <v/>
      </c>
    </row>
    <row r="345">
      <c r="A345" t="inlineStr">
        <is>
          <t>344</t>
        </is>
      </c>
      <c r="B345" t="inlineStr">
        <is>
          <t>Maciej Malyszka</t>
        </is>
      </c>
      <c r="C345" t="inlineStr">
        <is>
          <t>Velouse Flyers</t>
        </is>
      </c>
      <c r="D345" t="inlineStr">
        <is>
          <t>3</t>
        </is>
      </c>
      <c r="E345" s="2">
        <f>HYPERLINK("https://www.britishcycling.org.uk/points?person_id=381397&amp;year=2024&amp;type=national&amp;d=6","Results")</f>
        <v/>
      </c>
    </row>
    <row r="346">
      <c r="A346" t="inlineStr">
        <is>
          <t>345</t>
        </is>
      </c>
      <c r="B346" t="inlineStr">
        <is>
          <t>Jamie Anderson</t>
        </is>
      </c>
      <c r="C346" t="inlineStr">
        <is>
          <t>North Road CC</t>
        </is>
      </c>
      <c r="D346" t="inlineStr">
        <is>
          <t>2</t>
        </is>
      </c>
      <c r="E346" s="2">
        <f>HYPERLINK("https://www.britishcycling.org.uk/points?person_id=67909&amp;year=2024&amp;type=national&amp;d=6","Results")</f>
        <v/>
      </c>
    </row>
    <row r="347">
      <c r="A347" t="inlineStr">
        <is>
          <t>346</t>
        </is>
      </c>
      <c r="B347" t="inlineStr">
        <is>
          <t>Rupert Baker</t>
        </is>
      </c>
      <c r="C347" t="inlineStr">
        <is>
          <t>Mono CC</t>
        </is>
      </c>
      <c r="D347" t="inlineStr">
        <is>
          <t>2</t>
        </is>
      </c>
      <c r="E347" s="2">
        <f>HYPERLINK("https://www.britishcycling.org.uk/points?person_id=287191&amp;year=2024&amp;type=national&amp;d=6","Results")</f>
        <v/>
      </c>
    </row>
    <row r="348">
      <c r="A348" t="inlineStr">
        <is>
          <t>347</t>
        </is>
      </c>
      <c r="B348" t="inlineStr">
        <is>
          <t>Michael Brownsword</t>
        </is>
      </c>
      <c r="C348" t="inlineStr">
        <is>
          <t>Solihull CC</t>
        </is>
      </c>
      <c r="D348" t="inlineStr">
        <is>
          <t>2</t>
        </is>
      </c>
      <c r="E348" s="2">
        <f>HYPERLINK("https://www.britishcycling.org.uk/points?person_id=191653&amp;year=2024&amp;type=national&amp;d=6","Results")</f>
        <v/>
      </c>
    </row>
    <row r="349">
      <c r="A349" t="inlineStr">
        <is>
          <t>348</t>
        </is>
      </c>
      <c r="B349" t="inlineStr">
        <is>
          <t>Simon Constable</t>
        </is>
      </c>
      <c r="C349" t="inlineStr">
        <is>
          <t>Basildon CC</t>
        </is>
      </c>
      <c r="D349" t="inlineStr">
        <is>
          <t>2</t>
        </is>
      </c>
      <c r="E349" s="2">
        <f>HYPERLINK("https://www.britishcycling.org.uk/points?person_id=6143&amp;year=2024&amp;type=national&amp;d=6","Results")</f>
        <v/>
      </c>
    </row>
    <row r="350">
      <c r="A350" t="inlineStr">
        <is>
          <t>349</t>
        </is>
      </c>
      <c r="B350" t="inlineStr">
        <is>
          <t>Chris Cornish</t>
        </is>
      </c>
      <c r="C350" t="inlineStr"/>
      <c r="D350" t="inlineStr">
        <is>
          <t>2</t>
        </is>
      </c>
      <c r="E350" s="2">
        <f>HYPERLINK("https://www.britishcycling.org.uk/points?person_id=262139&amp;year=2024&amp;type=national&amp;d=6","Results")</f>
        <v/>
      </c>
    </row>
    <row r="351">
      <c r="A351" t="inlineStr">
        <is>
          <t>350</t>
        </is>
      </c>
      <c r="B351" t="inlineStr">
        <is>
          <t>Matthew Davies</t>
        </is>
      </c>
      <c r="C351" t="inlineStr">
        <is>
          <t>Holohan Coaching Race Team</t>
        </is>
      </c>
      <c r="D351" t="inlineStr">
        <is>
          <t>2</t>
        </is>
      </c>
      <c r="E351" s="2">
        <f>HYPERLINK("https://www.britishcycling.org.uk/points?person_id=49021&amp;year=2024&amp;type=national&amp;d=6","Results")</f>
        <v/>
      </c>
    </row>
    <row r="352">
      <c r="A352" t="inlineStr">
        <is>
          <t>351</t>
        </is>
      </c>
      <c r="B352" t="inlineStr">
        <is>
          <t>Nicolas Etienne</t>
        </is>
      </c>
      <c r="C352" t="inlineStr">
        <is>
          <t>Solihull CC</t>
        </is>
      </c>
      <c r="D352" t="inlineStr">
        <is>
          <t>2</t>
        </is>
      </c>
      <c r="E352" s="2">
        <f>HYPERLINK("https://www.britishcycling.org.uk/points?person_id=532096&amp;year=2024&amp;type=national&amp;d=6","Results")</f>
        <v/>
      </c>
    </row>
    <row r="353">
      <c r="A353" t="inlineStr">
        <is>
          <t>352</t>
        </is>
      </c>
      <c r="B353" t="inlineStr">
        <is>
          <t>Neil Henderson</t>
        </is>
      </c>
      <c r="C353" t="inlineStr">
        <is>
          <t>SR Albannach</t>
        </is>
      </c>
      <c r="D353" t="inlineStr">
        <is>
          <t>2</t>
        </is>
      </c>
      <c r="E353" s="2">
        <f>HYPERLINK("https://www.britishcycling.org.uk/points?person_id=621006&amp;year=2024&amp;type=national&amp;d=6","Results")</f>
        <v/>
      </c>
    </row>
    <row r="354">
      <c r="A354" t="inlineStr">
        <is>
          <t>353</t>
        </is>
      </c>
      <c r="B354" t="inlineStr">
        <is>
          <t>Greg Hilson</t>
        </is>
      </c>
      <c r="C354" t="inlineStr"/>
      <c r="D354" t="inlineStr">
        <is>
          <t>2</t>
        </is>
      </c>
      <c r="E354" s="2">
        <f>HYPERLINK("https://www.britishcycling.org.uk/points?person_id=352298&amp;year=2024&amp;type=national&amp;d=6","Results")</f>
        <v/>
      </c>
    </row>
    <row r="355">
      <c r="A355" t="inlineStr">
        <is>
          <t>354</t>
        </is>
      </c>
      <c r="B355" t="inlineStr">
        <is>
          <t>Martin Richardson</t>
        </is>
      </c>
      <c r="C355" t="inlineStr">
        <is>
          <t>Farnborough &amp; Camberley CC</t>
        </is>
      </c>
      <c r="D355" t="inlineStr">
        <is>
          <t>2</t>
        </is>
      </c>
      <c r="E355" s="2">
        <f>HYPERLINK("https://www.britishcycling.org.uk/points?person_id=339017&amp;year=2024&amp;type=national&amp;d=6","Results")</f>
        <v/>
      </c>
    </row>
    <row r="356">
      <c r="A356" t="inlineStr">
        <is>
          <t>355</t>
        </is>
      </c>
      <c r="B356" t="inlineStr">
        <is>
          <t>Chris Shields</t>
        </is>
      </c>
      <c r="C356" t="inlineStr">
        <is>
          <t>Wallacehill CC</t>
        </is>
      </c>
      <c r="D356" t="inlineStr">
        <is>
          <t>2</t>
        </is>
      </c>
      <c r="E356" s="2">
        <f>HYPERLINK("https://www.britishcycling.org.uk/points?person_id=616645&amp;year=2024&amp;type=national&amp;d=6","Results")</f>
        <v/>
      </c>
    </row>
    <row r="357">
      <c r="A357" t="inlineStr">
        <is>
          <t>356</t>
        </is>
      </c>
      <c r="B357" t="inlineStr">
        <is>
          <t>Marcus Sutcliffe</t>
        </is>
      </c>
      <c r="C357" t="inlineStr"/>
      <c r="D357" t="inlineStr">
        <is>
          <t>2</t>
        </is>
      </c>
      <c r="E357" s="2">
        <f>HYPERLINK("https://www.britishcycling.org.uk/points?person_id=66652&amp;year=2024&amp;type=national&amp;d=6","Results")</f>
        <v/>
      </c>
    </row>
    <row r="358">
      <c r="A358" t="inlineStr">
        <is>
          <t>357</t>
        </is>
      </c>
      <c r="B358" t="inlineStr">
        <is>
          <t>Nikki Taylor</t>
        </is>
      </c>
      <c r="C358" t="inlineStr">
        <is>
          <t>Chase Racing</t>
        </is>
      </c>
      <c r="D358" t="inlineStr">
        <is>
          <t>2</t>
        </is>
      </c>
      <c r="E358" s="2">
        <f>HYPERLINK("https://www.britishcycling.org.uk/points?person_id=218270&amp;year=2024&amp;type=national&amp;d=6","Results")</f>
        <v/>
      </c>
    </row>
    <row r="359">
      <c r="A359" t="inlineStr">
        <is>
          <t>358</t>
        </is>
      </c>
      <c r="B359" t="inlineStr">
        <is>
          <t>Kristian Zentek</t>
        </is>
      </c>
      <c r="C359" t="inlineStr">
        <is>
          <t>Tactic Sport UK Race Team</t>
        </is>
      </c>
      <c r="D359" t="inlineStr">
        <is>
          <t>2</t>
        </is>
      </c>
      <c r="E359" s="2">
        <f>HYPERLINK("https://www.britishcycling.org.uk/points?person_id=129270&amp;year=2024&amp;type=national&amp;d=6","Results")</f>
        <v/>
      </c>
    </row>
    <row r="360">
      <c r="A360" t="inlineStr">
        <is>
          <t>359</t>
        </is>
      </c>
      <c r="B360" t="inlineStr">
        <is>
          <t>Andrew Dilkes</t>
        </is>
      </c>
      <c r="C360" t="inlineStr"/>
      <c r="D360" t="inlineStr">
        <is>
          <t>1</t>
        </is>
      </c>
      <c r="E360" s="2">
        <f>HYPERLINK("https://www.britishcycling.org.uk/points?person_id=50765&amp;year=2024&amp;type=national&amp;d=6","Results")</f>
        <v/>
      </c>
    </row>
    <row r="361">
      <c r="A361" t="inlineStr">
        <is>
          <t>360</t>
        </is>
      </c>
      <c r="B361" t="inlineStr">
        <is>
          <t>Luke Hurst</t>
        </is>
      </c>
      <c r="C361" t="inlineStr">
        <is>
          <t>Norwich Amateur BC</t>
        </is>
      </c>
      <c r="D361" t="inlineStr">
        <is>
          <t>1</t>
        </is>
      </c>
      <c r="E361" s="2">
        <f>HYPERLINK("https://www.britishcycling.org.uk/points?person_id=39051&amp;year=2024&amp;type=national&amp;d=6","Results")</f>
        <v/>
      </c>
    </row>
    <row r="362">
      <c r="A362" t="inlineStr">
        <is>
          <t>361</t>
        </is>
      </c>
      <c r="B362" t="inlineStr">
        <is>
          <t>Kieren Jarratt</t>
        </is>
      </c>
      <c r="C362" t="inlineStr">
        <is>
          <t>Royal Air Force CA</t>
        </is>
      </c>
      <c r="D362" t="inlineStr">
        <is>
          <t>1</t>
        </is>
      </c>
      <c r="E362" s="2">
        <f>HYPERLINK("https://www.britishcycling.org.uk/points?person_id=62883&amp;year=2024&amp;type=national&amp;d=6","Results")</f>
        <v/>
      </c>
    </row>
    <row r="363">
      <c r="A363" t="inlineStr">
        <is>
          <t>362</t>
        </is>
      </c>
      <c r="B363" t="inlineStr">
        <is>
          <t>Daniel Jones</t>
        </is>
      </c>
      <c r="C363" t="inlineStr">
        <is>
          <t>Plomesgate CC</t>
        </is>
      </c>
      <c r="D363" t="inlineStr">
        <is>
          <t>1</t>
        </is>
      </c>
      <c r="E363" s="2">
        <f>HYPERLINK("https://www.britishcycling.org.uk/points?person_id=236487&amp;year=2024&amp;type=national&amp;d=6","Results")</f>
        <v/>
      </c>
    </row>
    <row r="364">
      <c r="A364" t="inlineStr">
        <is>
          <t>363</t>
        </is>
      </c>
      <c r="B364" t="inlineStr">
        <is>
          <t>Dan Rowley</t>
        </is>
      </c>
      <c r="C364" t="inlineStr">
        <is>
          <t>Bristol CX</t>
        </is>
      </c>
      <c r="D364" t="inlineStr">
        <is>
          <t>1</t>
        </is>
      </c>
      <c r="E364" s="2">
        <f>HYPERLINK("https://www.britishcycling.org.uk/points?person_id=1042989&amp;year=2024&amp;type=national&amp;d=6","Results")</f>
        <v/>
      </c>
    </row>
    <row r="365">
      <c r="A365" t="inlineStr">
        <is>
          <t>364</t>
        </is>
      </c>
      <c r="B365" t="inlineStr">
        <is>
          <t>Chris Ryder</t>
        </is>
      </c>
      <c r="C365" t="inlineStr">
        <is>
          <t>Handsling Racing</t>
        </is>
      </c>
      <c r="D365" t="inlineStr">
        <is>
          <t>1</t>
        </is>
      </c>
      <c r="E365" s="2">
        <f>HYPERLINK("https://www.britishcycling.org.uk/points?person_id=1160338&amp;year=2024&amp;type=national&amp;d=6","Results")</f>
        <v/>
      </c>
    </row>
    <row r="366">
      <c r="A366" t="inlineStr">
        <is>
          <t>365</t>
        </is>
      </c>
      <c r="B366" t="inlineStr">
        <is>
          <t>Paul Simmons</t>
        </is>
      </c>
      <c r="C366" t="inlineStr">
        <is>
          <t>Abellio - SFA Racing Team</t>
        </is>
      </c>
      <c r="D366" t="inlineStr">
        <is>
          <t>1</t>
        </is>
      </c>
      <c r="E366" s="2">
        <f>HYPERLINK("https://www.britishcycling.org.uk/points?person_id=161620&amp;year=2024&amp;type=national&amp;d=6","Results")</f>
        <v/>
      </c>
    </row>
    <row r="367">
      <c r="A367" t="inlineStr">
        <is>
          <t>366</t>
        </is>
      </c>
      <c r="B367" t="inlineStr">
        <is>
          <t>Stephen Stuart</t>
        </is>
      </c>
      <c r="C367" t="inlineStr">
        <is>
          <t>Liverpool Century RC</t>
        </is>
      </c>
      <c r="D367" t="inlineStr">
        <is>
          <t>1</t>
        </is>
      </c>
      <c r="E367" s="2">
        <f>HYPERLINK("https://www.britishcycling.org.uk/points?person_id=288980&amp;year=2024&amp;type=national&amp;d=6","Results")</f>
        <v/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F388"/>
  <sheetViews>
    <sheetView workbookViewId="0">
      <selection activeCell="A1" sqref="A1"/>
    </sheetView>
  </sheetViews>
  <sheetFormatPr baseColWidth="8" defaultRowHeight="15"/>
  <cols>
    <col width="8" customWidth="1" min="1" max="1"/>
    <col width="25" customWidth="1" min="2" max="2"/>
    <col width="50" customWidth="1" min="3" max="3"/>
    <col width="7" customWidth="1" min="4" max="4"/>
    <col width="20" customWidth="1" min="5" max="5"/>
  </cols>
  <sheetData>
    <row r="1">
      <c r="A1" s="1" t="inlineStr">
        <is>
          <t>Ranking</t>
        </is>
      </c>
      <c r="B1" s="1" t="inlineStr">
        <is>
          <t>Name</t>
        </is>
      </c>
      <c r="C1" s="1" t="inlineStr">
        <is>
          <t>Club/Team</t>
        </is>
      </c>
      <c r="D1" s="1" t="inlineStr">
        <is>
          <t>Points</t>
        </is>
      </c>
      <c r="E1" s="1" t="inlineStr">
        <is>
          <t>Detail (click)</t>
        </is>
      </c>
      <c r="F1" s="1" t="inlineStr">
        <is>
          <t>Updated: 2024-12-20</t>
        </is>
      </c>
    </row>
    <row r="2">
      <c r="A2" t="inlineStr">
        <is>
          <t>1</t>
        </is>
      </c>
      <c r="B2" t="inlineStr">
        <is>
          <t>Mike Simpson</t>
        </is>
      </c>
      <c r="C2" t="inlineStr">
        <is>
          <t>Beeline Bicycles - Sorb</t>
        </is>
      </c>
      <c r="D2" t="inlineStr">
        <is>
          <t>592</t>
        </is>
      </c>
      <c r="E2" s="2">
        <f>HYPERLINK("https://www.britishcycling.org.uk/points?person_id=37986&amp;year=2024&amp;type=national&amp;d=6","Results")</f>
        <v/>
      </c>
    </row>
    <row r="3">
      <c r="A3" t="inlineStr">
        <is>
          <t>2</t>
        </is>
      </c>
      <c r="B3" t="inlineStr">
        <is>
          <t>Nicholas Whitley</t>
        </is>
      </c>
      <c r="C3" t="inlineStr">
        <is>
          <t>Team Enable MI Racing</t>
        </is>
      </c>
      <c r="D3" t="inlineStr">
        <is>
          <t>568</t>
        </is>
      </c>
      <c r="E3" s="2">
        <f>HYPERLINK("https://www.britishcycling.org.uk/points?person_id=304160&amp;year=2024&amp;type=national&amp;d=6","Results")</f>
        <v/>
      </c>
    </row>
    <row r="4">
      <c r="A4" t="inlineStr">
        <is>
          <t>3</t>
        </is>
      </c>
      <c r="B4" t="inlineStr">
        <is>
          <t>Nicholas Craig</t>
        </is>
      </c>
      <c r="C4" t="inlineStr">
        <is>
          <t>SCOTT Pioneer DJ</t>
        </is>
      </c>
      <c r="D4" t="inlineStr">
        <is>
          <t>556</t>
        </is>
      </c>
      <c r="E4" s="2">
        <f>HYPERLINK("https://www.britishcycling.org.uk/points?person_id=12100&amp;year=2024&amp;type=national&amp;d=6","Results")</f>
        <v/>
      </c>
    </row>
    <row r="5">
      <c r="A5" t="inlineStr">
        <is>
          <t>4</t>
        </is>
      </c>
      <c r="B5" t="inlineStr">
        <is>
          <t>Ian Taylor</t>
        </is>
      </c>
      <c r="C5" t="inlineStr">
        <is>
          <t>Shibden Cycling Club</t>
        </is>
      </c>
      <c r="D5" t="inlineStr">
        <is>
          <t>492</t>
        </is>
      </c>
      <c r="E5" s="2">
        <f>HYPERLINK("https://www.britishcycling.org.uk/points?person_id=30980&amp;year=2024&amp;type=national&amp;d=6","Results")</f>
        <v/>
      </c>
    </row>
    <row r="6">
      <c r="A6" t="inlineStr">
        <is>
          <t>5</t>
        </is>
      </c>
      <c r="B6" t="inlineStr">
        <is>
          <t>Darren Atkins</t>
        </is>
      </c>
      <c r="C6" t="inlineStr">
        <is>
          <t>Team Enable MI Racing</t>
        </is>
      </c>
      <c r="D6" t="inlineStr">
        <is>
          <t>420</t>
        </is>
      </c>
      <c r="E6" s="2">
        <f>HYPERLINK("https://www.britishcycling.org.uk/points?person_id=25650&amp;year=2024&amp;type=national&amp;d=6","Results")</f>
        <v/>
      </c>
    </row>
    <row r="7">
      <c r="A7" t="inlineStr">
        <is>
          <t>6</t>
        </is>
      </c>
      <c r="B7" t="inlineStr">
        <is>
          <t>Simon Hale</t>
        </is>
      </c>
      <c r="C7" t="inlineStr">
        <is>
          <t>Army Cycling Union</t>
        </is>
      </c>
      <c r="D7" t="inlineStr">
        <is>
          <t>418</t>
        </is>
      </c>
      <c r="E7" s="2">
        <f>HYPERLINK("https://www.britishcycling.org.uk/points?person_id=305916&amp;year=2024&amp;type=national&amp;d=6","Results")</f>
        <v/>
      </c>
    </row>
    <row r="8">
      <c r="A8" t="inlineStr">
        <is>
          <t>7</t>
        </is>
      </c>
      <c r="B8" t="inlineStr">
        <is>
          <t>Stuart Marshall</t>
        </is>
      </c>
      <c r="C8" t="inlineStr">
        <is>
          <t>Rose Race Team</t>
        </is>
      </c>
      <c r="D8" t="inlineStr">
        <is>
          <t>414</t>
        </is>
      </c>
      <c r="E8" s="2">
        <f>HYPERLINK("https://www.britishcycling.org.uk/points?person_id=933757&amp;year=2024&amp;type=national&amp;d=6","Results")</f>
        <v/>
      </c>
    </row>
    <row r="9">
      <c r="A9" t="inlineStr">
        <is>
          <t>8</t>
        </is>
      </c>
      <c r="B9" t="inlineStr">
        <is>
          <t>Matthew Webber</t>
        </is>
      </c>
      <c r="C9" t="inlineStr">
        <is>
          <t>Forest Side Riders</t>
        </is>
      </c>
      <c r="D9" t="inlineStr">
        <is>
          <t>398</t>
        </is>
      </c>
      <c r="E9" s="2">
        <f>HYPERLINK("https://www.britishcycling.org.uk/points?person_id=25714&amp;year=2024&amp;type=national&amp;d=6","Results")</f>
        <v/>
      </c>
    </row>
    <row r="10">
      <c r="A10" t="inlineStr">
        <is>
          <t>9</t>
        </is>
      </c>
      <c r="B10" t="inlineStr">
        <is>
          <t>Crispin Doyle</t>
        </is>
      </c>
      <c r="C10" t="inlineStr">
        <is>
          <t>Magspeed Racing</t>
        </is>
      </c>
      <c r="D10" t="inlineStr">
        <is>
          <t>370</t>
        </is>
      </c>
      <c r="E10" s="2">
        <f>HYPERLINK("https://www.britishcycling.org.uk/points?person_id=3157&amp;year=2024&amp;type=national&amp;d=6","Results")</f>
        <v/>
      </c>
    </row>
    <row r="11">
      <c r="A11" t="inlineStr">
        <is>
          <t>10</t>
        </is>
      </c>
      <c r="B11" t="inlineStr">
        <is>
          <t>Dean Hitchings</t>
        </is>
      </c>
      <c r="C11" t="inlineStr">
        <is>
          <t>North Cotswold CC</t>
        </is>
      </c>
      <c r="D11" t="inlineStr">
        <is>
          <t>359</t>
        </is>
      </c>
      <c r="E11" s="2">
        <f>HYPERLINK("https://www.britishcycling.org.uk/points?person_id=15620&amp;year=2024&amp;type=national&amp;d=6","Results")</f>
        <v/>
      </c>
    </row>
    <row r="12">
      <c r="A12" t="inlineStr">
        <is>
          <t>11</t>
        </is>
      </c>
      <c r="B12" t="inlineStr">
        <is>
          <t>Lewis King</t>
        </is>
      </c>
      <c r="C12" t="inlineStr">
        <is>
          <t>ROTOR Race Team</t>
        </is>
      </c>
      <c r="D12" t="inlineStr">
        <is>
          <t>338</t>
        </is>
      </c>
      <c r="E12" s="2">
        <f>HYPERLINK("https://www.britishcycling.org.uk/points?person_id=79108&amp;year=2024&amp;type=national&amp;d=6","Results")</f>
        <v/>
      </c>
    </row>
    <row r="13">
      <c r="A13" t="inlineStr">
        <is>
          <t>12</t>
        </is>
      </c>
      <c r="B13" t="inlineStr">
        <is>
          <t>Brian Johnson</t>
        </is>
      </c>
      <c r="C13" t="inlineStr">
        <is>
          <t>Reifen Racing</t>
        </is>
      </c>
      <c r="D13" t="inlineStr">
        <is>
          <t>328</t>
        </is>
      </c>
      <c r="E13" s="2">
        <f>HYPERLINK("https://www.britishcycling.org.uk/points?person_id=276279&amp;year=2024&amp;type=national&amp;d=6","Results")</f>
        <v/>
      </c>
    </row>
    <row r="14">
      <c r="A14" t="inlineStr">
        <is>
          <t>13</t>
        </is>
      </c>
      <c r="B14" t="inlineStr">
        <is>
          <t>David Haygarth</t>
        </is>
      </c>
      <c r="C14" t="inlineStr">
        <is>
          <t>Wheelbase CabTech Castelli</t>
        </is>
      </c>
      <c r="D14" t="inlineStr">
        <is>
          <t>324</t>
        </is>
      </c>
      <c r="E14" s="2">
        <f>HYPERLINK("https://www.britishcycling.org.uk/points?person_id=70096&amp;year=2024&amp;type=national&amp;d=6","Results")</f>
        <v/>
      </c>
    </row>
    <row r="15">
      <c r="A15" t="inlineStr">
        <is>
          <t>14</t>
        </is>
      </c>
      <c r="B15" t="inlineStr">
        <is>
          <t>Matthew George</t>
        </is>
      </c>
      <c r="C15" t="inlineStr">
        <is>
          <t>Twickenham CC</t>
        </is>
      </c>
      <c r="D15" t="inlineStr">
        <is>
          <t>295</t>
        </is>
      </c>
      <c r="E15" s="2">
        <f>HYPERLINK("https://www.britishcycling.org.uk/points?person_id=566334&amp;year=2024&amp;type=national&amp;d=6","Results")</f>
        <v/>
      </c>
    </row>
    <row r="16">
      <c r="A16" t="inlineStr">
        <is>
          <t>15</t>
        </is>
      </c>
      <c r="B16" t="inlineStr">
        <is>
          <t>Philip Simcock</t>
        </is>
      </c>
      <c r="C16" t="inlineStr">
        <is>
          <t>Team JMC</t>
        </is>
      </c>
      <c r="D16" t="inlineStr">
        <is>
          <t>292</t>
        </is>
      </c>
      <c r="E16" s="2">
        <f>HYPERLINK("https://www.britishcycling.org.uk/points?person_id=107592&amp;year=2024&amp;type=national&amp;d=6","Results")</f>
        <v/>
      </c>
    </row>
    <row r="17">
      <c r="A17" t="inlineStr">
        <is>
          <t>16</t>
        </is>
      </c>
      <c r="B17" t="inlineStr">
        <is>
          <t>Tim Hyde</t>
        </is>
      </c>
      <c r="C17" t="inlineStr">
        <is>
          <t>Pronto Bikes</t>
        </is>
      </c>
      <c r="D17" t="inlineStr">
        <is>
          <t>283</t>
        </is>
      </c>
      <c r="E17" s="2">
        <f>HYPERLINK("https://www.britishcycling.org.uk/points?person_id=373&amp;year=2024&amp;type=national&amp;d=6","Results")</f>
        <v/>
      </c>
    </row>
    <row r="18">
      <c r="A18" t="inlineStr">
        <is>
          <t>17</t>
        </is>
      </c>
      <c r="B18" t="inlineStr">
        <is>
          <t>Pete Middleton</t>
        </is>
      </c>
      <c r="C18" t="inlineStr">
        <is>
          <t>www.Zepnat.com RT - Lazer Helmets</t>
        </is>
      </c>
      <c r="D18" t="inlineStr">
        <is>
          <t>278</t>
        </is>
      </c>
      <c r="E18" s="2">
        <f>HYPERLINK("https://www.britishcycling.org.uk/points?person_id=78371&amp;year=2024&amp;type=national&amp;d=6","Results")</f>
        <v/>
      </c>
    </row>
    <row r="19">
      <c r="A19" t="inlineStr">
        <is>
          <t>18</t>
        </is>
      </c>
      <c r="B19" t="inlineStr">
        <is>
          <t>Paul Byford</t>
        </is>
      </c>
      <c r="C19" t="inlineStr">
        <is>
          <t>Destination Bike RT</t>
        </is>
      </c>
      <c r="D19" t="inlineStr">
        <is>
          <t>270</t>
        </is>
      </c>
      <c r="E19" s="2">
        <f>HYPERLINK("https://www.britishcycling.org.uk/points?person_id=68833&amp;year=2024&amp;type=national&amp;d=6","Results")</f>
        <v/>
      </c>
    </row>
    <row r="20">
      <c r="A20" t="inlineStr">
        <is>
          <t>19</t>
        </is>
      </c>
      <c r="B20" t="inlineStr">
        <is>
          <t>Andrew Brindle</t>
        </is>
      </c>
      <c r="C20" t="inlineStr">
        <is>
          <t>Horwich CC</t>
        </is>
      </c>
      <c r="D20" t="inlineStr">
        <is>
          <t>268</t>
        </is>
      </c>
      <c r="E20" s="2">
        <f>HYPERLINK("https://www.britishcycling.org.uk/points?person_id=15692&amp;year=2024&amp;type=national&amp;d=6","Results")</f>
        <v/>
      </c>
    </row>
    <row r="21">
      <c r="A21" t="inlineStr">
        <is>
          <t>20</t>
        </is>
      </c>
      <c r="B21" t="inlineStr">
        <is>
          <t>Carl Jackson</t>
        </is>
      </c>
      <c r="C21" t="inlineStr">
        <is>
          <t>Rose Race Team</t>
        </is>
      </c>
      <c r="D21" t="inlineStr">
        <is>
          <t>268</t>
        </is>
      </c>
      <c r="E21" s="2">
        <f>HYPERLINK("https://www.britishcycling.org.uk/points?person_id=410192&amp;year=2024&amp;type=national&amp;d=6","Results")</f>
        <v/>
      </c>
    </row>
    <row r="22">
      <c r="A22" t="inlineStr">
        <is>
          <t>21</t>
        </is>
      </c>
      <c r="B22" t="inlineStr">
        <is>
          <t>Alan Nixon</t>
        </is>
      </c>
      <c r="C22" t="inlineStr">
        <is>
          <t>Fietsen Tempo</t>
        </is>
      </c>
      <c r="D22" t="inlineStr">
        <is>
          <t>268</t>
        </is>
      </c>
      <c r="E22" s="2">
        <f>HYPERLINK("https://www.britishcycling.org.uk/points?person_id=63568&amp;year=2024&amp;type=national&amp;d=6","Results")</f>
        <v/>
      </c>
    </row>
    <row r="23">
      <c r="A23" t="inlineStr">
        <is>
          <t>22</t>
        </is>
      </c>
      <c r="B23" t="inlineStr">
        <is>
          <t>Anthony White</t>
        </is>
      </c>
      <c r="C23" t="inlineStr">
        <is>
          <t>Fenland Clarion CC</t>
        </is>
      </c>
      <c r="D23" t="inlineStr">
        <is>
          <t>268</t>
        </is>
      </c>
      <c r="E23" s="2">
        <f>HYPERLINK("https://www.britishcycling.org.uk/points?person_id=929&amp;year=2024&amp;type=national&amp;d=6","Results")</f>
        <v/>
      </c>
    </row>
    <row r="24">
      <c r="A24" t="inlineStr">
        <is>
          <t>23</t>
        </is>
      </c>
      <c r="B24" t="inlineStr">
        <is>
          <t>Matthew Crouch</t>
        </is>
      </c>
      <c r="C24" t="inlineStr">
        <is>
          <t>Grity Race Team</t>
        </is>
      </c>
      <c r="D24" t="inlineStr">
        <is>
          <t>264</t>
        </is>
      </c>
      <c r="E24" s="2">
        <f>HYPERLINK("https://www.britishcycling.org.uk/points?person_id=31504&amp;year=2024&amp;type=national&amp;d=6","Results")</f>
        <v/>
      </c>
    </row>
    <row r="25">
      <c r="A25" t="inlineStr">
        <is>
          <t>24</t>
        </is>
      </c>
      <c r="B25" t="inlineStr">
        <is>
          <t>Steven Henshall</t>
        </is>
      </c>
      <c r="C25" t="inlineStr">
        <is>
          <t>Port Sunlight Wheelers</t>
        </is>
      </c>
      <c r="D25" t="inlineStr">
        <is>
          <t>260</t>
        </is>
      </c>
      <c r="E25" s="2">
        <f>HYPERLINK("https://www.britishcycling.org.uk/points?person_id=288497&amp;year=2024&amp;type=national&amp;d=6","Results")</f>
        <v/>
      </c>
    </row>
    <row r="26">
      <c r="A26" t="inlineStr">
        <is>
          <t>25</t>
        </is>
      </c>
      <c r="B26" t="inlineStr">
        <is>
          <t>Richard John</t>
        </is>
      </c>
      <c r="C26" t="inlineStr">
        <is>
          <t>Spirit TBW Stuart Hall Cycling</t>
        </is>
      </c>
      <c r="D26" t="inlineStr">
        <is>
          <t>258</t>
        </is>
      </c>
      <c r="E26" s="2">
        <f>HYPERLINK("https://www.britishcycling.org.uk/points?person_id=3368&amp;year=2024&amp;type=national&amp;d=6","Results")</f>
        <v/>
      </c>
    </row>
    <row r="27">
      <c r="A27" t="inlineStr">
        <is>
          <t>26</t>
        </is>
      </c>
      <c r="B27" t="inlineStr">
        <is>
          <t>Steven Barham</t>
        </is>
      </c>
      <c r="C27" t="inlineStr">
        <is>
          <t>Army Cycling Union</t>
        </is>
      </c>
      <c r="D27" t="inlineStr">
        <is>
          <t>242</t>
        </is>
      </c>
      <c r="E27" s="2">
        <f>HYPERLINK("https://www.britishcycling.org.uk/points?person_id=251554&amp;year=2024&amp;type=national&amp;d=6","Results")</f>
        <v/>
      </c>
    </row>
    <row r="28">
      <c r="A28" t="inlineStr">
        <is>
          <t>27</t>
        </is>
      </c>
      <c r="B28" t="inlineStr">
        <is>
          <t>Edward Wenlock</t>
        </is>
      </c>
      <c r="C28" t="inlineStr">
        <is>
          <t>Southborough &amp; District Whls</t>
        </is>
      </c>
      <c r="D28" t="inlineStr">
        <is>
          <t>242</t>
        </is>
      </c>
      <c r="E28" s="2">
        <f>HYPERLINK("https://www.britishcycling.org.uk/points?person_id=543578&amp;year=2024&amp;type=national&amp;d=6","Results")</f>
        <v/>
      </c>
    </row>
    <row r="29">
      <c r="A29" t="inlineStr">
        <is>
          <t>28</t>
        </is>
      </c>
      <c r="B29" t="inlineStr">
        <is>
          <t>Frazer White</t>
        </is>
      </c>
      <c r="C29" t="inlineStr">
        <is>
          <t>Pontypool RCC</t>
        </is>
      </c>
      <c r="D29" t="inlineStr">
        <is>
          <t>242</t>
        </is>
      </c>
      <c r="E29" s="2">
        <f>HYPERLINK("https://www.britishcycling.org.uk/points?person_id=600148&amp;year=2024&amp;type=national&amp;d=6","Results")</f>
        <v/>
      </c>
    </row>
    <row r="30">
      <c r="A30" t="inlineStr">
        <is>
          <t>29</t>
        </is>
      </c>
      <c r="B30" t="inlineStr">
        <is>
          <t>Morgan Donnelly</t>
        </is>
      </c>
      <c r="C30" t="inlineStr">
        <is>
          <t>CXR</t>
        </is>
      </c>
      <c r="D30" t="inlineStr">
        <is>
          <t>240</t>
        </is>
      </c>
      <c r="E30" s="2">
        <f>HYPERLINK("https://www.britishcycling.org.uk/points?person_id=34789&amp;year=2024&amp;type=national&amp;d=6","Results")</f>
        <v/>
      </c>
    </row>
    <row r="31">
      <c r="A31" t="inlineStr">
        <is>
          <t>30</t>
        </is>
      </c>
      <c r="B31" t="inlineStr">
        <is>
          <t>Killian Lomas</t>
        </is>
      </c>
      <c r="C31" t="inlineStr">
        <is>
          <t>CXR</t>
        </is>
      </c>
      <c r="D31" t="inlineStr">
        <is>
          <t>234</t>
        </is>
      </c>
      <c r="E31" s="2">
        <f>HYPERLINK("https://www.britishcycling.org.uk/points?person_id=519345&amp;year=2024&amp;type=national&amp;d=6","Results")</f>
        <v/>
      </c>
    </row>
    <row r="32">
      <c r="A32" t="inlineStr">
        <is>
          <t>31</t>
        </is>
      </c>
      <c r="B32" t="inlineStr">
        <is>
          <t>Gary Barlow</t>
        </is>
      </c>
      <c r="C32" t="inlineStr">
        <is>
          <t>Reading CC</t>
        </is>
      </c>
      <c r="D32" t="inlineStr">
        <is>
          <t>230</t>
        </is>
      </c>
      <c r="E32" s="2">
        <f>HYPERLINK("https://www.britishcycling.org.uk/points?person_id=27253&amp;year=2024&amp;type=national&amp;d=6","Results")</f>
        <v/>
      </c>
    </row>
    <row r="33">
      <c r="A33" t="inlineStr">
        <is>
          <t>32</t>
        </is>
      </c>
      <c r="B33" t="inlineStr">
        <is>
          <t>Russell Bayliss</t>
        </is>
      </c>
      <c r="C33" t="inlineStr">
        <is>
          <t>Reifen Racing</t>
        </is>
      </c>
      <c r="D33" t="inlineStr">
        <is>
          <t>218</t>
        </is>
      </c>
      <c r="E33" s="2">
        <f>HYPERLINK("https://www.britishcycling.org.uk/points?person_id=19344&amp;year=2024&amp;type=national&amp;d=6","Results")</f>
        <v/>
      </c>
    </row>
    <row r="34">
      <c r="A34" t="inlineStr">
        <is>
          <t>33</t>
        </is>
      </c>
      <c r="B34" t="inlineStr">
        <is>
          <t>Tony Anderson</t>
        </is>
      </c>
      <c r="C34" t="inlineStr">
        <is>
          <t>Salisbury Road and Mountain CC</t>
        </is>
      </c>
      <c r="D34" t="inlineStr">
        <is>
          <t>212</t>
        </is>
      </c>
      <c r="E34" s="2">
        <f>HYPERLINK("https://www.britishcycling.org.uk/points?person_id=323164&amp;year=2024&amp;type=national&amp;d=6","Results")</f>
        <v/>
      </c>
    </row>
    <row r="35">
      <c r="A35" t="inlineStr">
        <is>
          <t>34</t>
        </is>
      </c>
      <c r="B35" t="inlineStr">
        <is>
          <t>Paul Groombridge</t>
        </is>
      </c>
      <c r="C35" t="inlineStr">
        <is>
          <t>Norwich Racing Team</t>
        </is>
      </c>
      <c r="D35" t="inlineStr">
        <is>
          <t>212</t>
        </is>
      </c>
      <c r="E35" s="2">
        <f>HYPERLINK("https://www.britishcycling.org.uk/points?person_id=251051&amp;year=2024&amp;type=national&amp;d=6","Results")</f>
        <v/>
      </c>
    </row>
    <row r="36">
      <c r="A36" t="inlineStr">
        <is>
          <t>35</t>
        </is>
      </c>
      <c r="B36" t="inlineStr">
        <is>
          <t>Magnus Wills</t>
        </is>
      </c>
      <c r="C36" t="inlineStr">
        <is>
          <t>Dulwich Paragon CC</t>
        </is>
      </c>
      <c r="D36" t="inlineStr">
        <is>
          <t>212</t>
        </is>
      </c>
      <c r="E36" s="2">
        <f>HYPERLINK("https://www.britishcycling.org.uk/points?person_id=308074&amp;year=2024&amp;type=national&amp;d=6","Results")</f>
        <v/>
      </c>
    </row>
    <row r="37">
      <c r="A37" t="inlineStr">
        <is>
          <t>36</t>
        </is>
      </c>
      <c r="B37" t="inlineStr">
        <is>
          <t>James Ward</t>
        </is>
      </c>
      <c r="C37" t="inlineStr">
        <is>
          <t>Cambridge CC</t>
        </is>
      </c>
      <c r="D37" t="inlineStr">
        <is>
          <t>204</t>
        </is>
      </c>
      <c r="E37" s="2">
        <f>HYPERLINK("https://www.britishcycling.org.uk/points?person_id=72883&amp;year=2024&amp;type=national&amp;d=6","Results")</f>
        <v/>
      </c>
    </row>
    <row r="38">
      <c r="A38" t="inlineStr">
        <is>
          <t>37</t>
        </is>
      </c>
      <c r="B38" t="inlineStr">
        <is>
          <t>Graham Rogerson</t>
        </is>
      </c>
      <c r="C38" t="inlineStr">
        <is>
          <t>Port Talbot Wheelers</t>
        </is>
      </c>
      <c r="D38" t="inlineStr">
        <is>
          <t>202</t>
        </is>
      </c>
      <c r="E38" s="2">
        <f>HYPERLINK("https://www.britishcycling.org.uk/points?person_id=45541&amp;year=2024&amp;type=national&amp;d=6","Results")</f>
        <v/>
      </c>
    </row>
    <row r="39">
      <c r="A39" t="inlineStr">
        <is>
          <t>38</t>
        </is>
      </c>
      <c r="B39" t="inlineStr">
        <is>
          <t>Mark Preston</t>
        </is>
      </c>
      <c r="C39" t="inlineStr">
        <is>
          <t>Lincoln Cycling Club</t>
        </is>
      </c>
      <c r="D39" t="inlineStr">
        <is>
          <t>201</t>
        </is>
      </c>
      <c r="E39" s="2">
        <f>HYPERLINK("https://www.britishcycling.org.uk/points?person_id=73475&amp;year=2024&amp;type=national&amp;d=6","Results")</f>
        <v/>
      </c>
    </row>
    <row r="40">
      <c r="A40" t="inlineStr">
        <is>
          <t>39</t>
        </is>
      </c>
      <c r="B40" t="inlineStr">
        <is>
          <t>Fergus Brady</t>
        </is>
      </c>
      <c r="C40" t="inlineStr">
        <is>
          <t>VC Meudon</t>
        </is>
      </c>
      <c r="D40" t="inlineStr">
        <is>
          <t>200</t>
        </is>
      </c>
      <c r="E40" s="2">
        <f>HYPERLINK("https://www.britishcycling.org.uk/points?person_id=756303&amp;year=2024&amp;type=national&amp;d=6","Results")</f>
        <v/>
      </c>
    </row>
    <row r="41">
      <c r="A41" t="inlineStr">
        <is>
          <t>40</t>
        </is>
      </c>
      <c r="B41" t="inlineStr">
        <is>
          <t>Andrew Larking</t>
        </is>
      </c>
      <c r="C41" t="inlineStr">
        <is>
          <t>Sussex Revolution Velo Club</t>
        </is>
      </c>
      <c r="D41" t="inlineStr">
        <is>
          <t>200</t>
        </is>
      </c>
      <c r="E41" s="2">
        <f>HYPERLINK("https://www.britishcycling.org.uk/points?person_id=222800&amp;year=2024&amp;type=national&amp;d=6","Results")</f>
        <v/>
      </c>
    </row>
    <row r="42">
      <c r="A42" t="inlineStr">
        <is>
          <t>41</t>
        </is>
      </c>
      <c r="B42" t="inlineStr">
        <is>
          <t>Kevin Knox</t>
        </is>
      </c>
      <c r="C42" t="inlineStr">
        <is>
          <t>ViCiOUS VELO</t>
        </is>
      </c>
      <c r="D42" t="inlineStr">
        <is>
          <t>198</t>
        </is>
      </c>
      <c r="E42" s="2">
        <f>HYPERLINK("https://www.britishcycling.org.uk/points?person_id=57655&amp;year=2024&amp;type=national&amp;d=6","Results")</f>
        <v/>
      </c>
    </row>
    <row r="43">
      <c r="A43" t="inlineStr">
        <is>
          <t>42</t>
        </is>
      </c>
      <c r="B43" t="inlineStr">
        <is>
          <t>Mike Adams</t>
        </is>
      </c>
      <c r="C43" t="inlineStr">
        <is>
          <t>Mapperley CC</t>
        </is>
      </c>
      <c r="D43" t="inlineStr">
        <is>
          <t>197</t>
        </is>
      </c>
      <c r="E43" s="2">
        <f>HYPERLINK("https://www.britishcycling.org.uk/points?person_id=853769&amp;year=2024&amp;type=national&amp;d=6","Results")</f>
        <v/>
      </c>
    </row>
    <row r="44">
      <c r="A44" t="inlineStr">
        <is>
          <t>43</t>
        </is>
      </c>
      <c r="B44" t="inlineStr">
        <is>
          <t>Julian Wilkes</t>
        </is>
      </c>
      <c r="C44" t="inlineStr">
        <is>
          <t>1st Chard Whls</t>
        </is>
      </c>
      <c r="D44" t="inlineStr">
        <is>
          <t>196</t>
        </is>
      </c>
      <c r="E44" s="2">
        <f>HYPERLINK("https://www.britishcycling.org.uk/points?person_id=686536&amp;year=2024&amp;type=national&amp;d=6","Results")</f>
        <v/>
      </c>
    </row>
    <row r="45">
      <c r="A45" t="inlineStr">
        <is>
          <t>44</t>
        </is>
      </c>
      <c r="B45" t="inlineStr">
        <is>
          <t>Andrew Owen</t>
        </is>
      </c>
      <c r="C45" t="inlineStr">
        <is>
          <t>ROTOR Race Team</t>
        </is>
      </c>
      <c r="D45" t="inlineStr">
        <is>
          <t>195</t>
        </is>
      </c>
      <c r="E45" s="2">
        <f>HYPERLINK("https://www.britishcycling.org.uk/points?person_id=587805&amp;year=2024&amp;type=national&amp;d=6","Results")</f>
        <v/>
      </c>
    </row>
    <row r="46">
      <c r="A46" t="inlineStr">
        <is>
          <t>45</t>
        </is>
      </c>
      <c r="B46" t="inlineStr">
        <is>
          <t>Sam Miller</t>
        </is>
      </c>
      <c r="C46" t="inlineStr">
        <is>
          <t>Reflex Nopinz</t>
        </is>
      </c>
      <c r="D46" t="inlineStr">
        <is>
          <t>192</t>
        </is>
      </c>
      <c r="E46" s="2">
        <f>HYPERLINK("https://www.britishcycling.org.uk/points?person_id=290213&amp;year=2024&amp;type=national&amp;d=6","Results")</f>
        <v/>
      </c>
    </row>
    <row r="47">
      <c r="A47" t="inlineStr">
        <is>
          <t>46</t>
        </is>
      </c>
      <c r="B47" t="inlineStr">
        <is>
          <t>John Russell</t>
        </is>
      </c>
      <c r="C47" t="inlineStr">
        <is>
          <t>Reflex Nopinz</t>
        </is>
      </c>
      <c r="D47" t="inlineStr">
        <is>
          <t>190</t>
        </is>
      </c>
      <c r="E47" s="2">
        <f>HYPERLINK("https://www.britishcycling.org.uk/points?person_id=51602&amp;year=2024&amp;type=national&amp;d=6","Results")</f>
        <v/>
      </c>
    </row>
    <row r="48">
      <c r="A48" t="inlineStr">
        <is>
          <t>47</t>
        </is>
      </c>
      <c r="B48" t="inlineStr">
        <is>
          <t>Phillip Craker</t>
        </is>
      </c>
      <c r="C48" t="inlineStr">
        <is>
          <t>Barrow Central Wheelers</t>
        </is>
      </c>
      <c r="D48" t="inlineStr">
        <is>
          <t>188</t>
        </is>
      </c>
      <c r="E48" s="2">
        <f>HYPERLINK("https://www.britishcycling.org.uk/points?person_id=177968&amp;year=2024&amp;type=national&amp;d=6","Results")</f>
        <v/>
      </c>
    </row>
    <row r="49">
      <c r="A49" t="inlineStr">
        <is>
          <t>48</t>
        </is>
      </c>
      <c r="B49" t="inlineStr">
        <is>
          <t>John Darroch</t>
        </is>
      </c>
      <c r="C49" t="inlineStr">
        <is>
          <t>Lichfield City CC</t>
        </is>
      </c>
      <c r="D49" t="inlineStr">
        <is>
          <t>188</t>
        </is>
      </c>
      <c r="E49" s="2">
        <f>HYPERLINK("https://www.britishcycling.org.uk/points?person_id=75468&amp;year=2024&amp;type=national&amp;d=6","Results")</f>
        <v/>
      </c>
    </row>
    <row r="50">
      <c r="A50" t="inlineStr">
        <is>
          <t>49</t>
        </is>
      </c>
      <c r="B50" t="inlineStr">
        <is>
          <t>Nicholas Popham</t>
        </is>
      </c>
      <c r="C50" t="inlineStr">
        <is>
          <t>Team Enable MI Racing</t>
        </is>
      </c>
      <c r="D50" t="inlineStr">
        <is>
          <t>187</t>
        </is>
      </c>
      <c r="E50" s="2">
        <f>HYPERLINK("https://www.britishcycling.org.uk/points?person_id=104475&amp;year=2024&amp;type=national&amp;d=6","Results")</f>
        <v/>
      </c>
    </row>
    <row r="51">
      <c r="A51" t="inlineStr">
        <is>
          <t>50</t>
        </is>
      </c>
      <c r="B51" t="inlineStr">
        <is>
          <t>Dean Camier</t>
        </is>
      </c>
      <c r="C51" t="inlineStr">
        <is>
          <t>CX Cartel</t>
        </is>
      </c>
      <c r="D51" t="inlineStr">
        <is>
          <t>186</t>
        </is>
      </c>
      <c r="E51" s="2">
        <f>HYPERLINK("https://www.britishcycling.org.uk/points?person_id=318926&amp;year=2024&amp;type=national&amp;d=6","Results")</f>
        <v/>
      </c>
    </row>
    <row r="52">
      <c r="A52" t="inlineStr">
        <is>
          <t>51</t>
        </is>
      </c>
      <c r="B52" t="inlineStr">
        <is>
          <t>Philip Murrell</t>
        </is>
      </c>
      <c r="C52" t="inlineStr">
        <is>
          <t>Finsbury Park CC</t>
        </is>
      </c>
      <c r="D52" t="inlineStr">
        <is>
          <t>185</t>
        </is>
      </c>
      <c r="E52" s="2">
        <f>HYPERLINK("https://www.britishcycling.org.uk/points?person_id=43477&amp;year=2024&amp;type=national&amp;d=6","Results")</f>
        <v/>
      </c>
    </row>
    <row r="53">
      <c r="A53" t="inlineStr">
        <is>
          <t>52</t>
        </is>
      </c>
      <c r="B53" t="inlineStr">
        <is>
          <t>Kieron Hastings</t>
        </is>
      </c>
      <c r="C53" t="inlineStr">
        <is>
          <t>Cardiff JIF</t>
        </is>
      </c>
      <c r="D53" t="inlineStr">
        <is>
          <t>180</t>
        </is>
      </c>
      <c r="E53" s="2">
        <f>HYPERLINK("https://www.britishcycling.org.uk/points?person_id=305973&amp;year=2024&amp;type=national&amp;d=6","Results")</f>
        <v/>
      </c>
    </row>
    <row r="54">
      <c r="A54" t="inlineStr">
        <is>
          <t>53</t>
        </is>
      </c>
      <c r="B54" t="inlineStr">
        <is>
          <t>Glenn Davey</t>
        </is>
      </c>
      <c r="C54" t="inlineStr">
        <is>
          <t>Maglia Rosso</t>
        </is>
      </c>
      <c r="D54" t="inlineStr">
        <is>
          <t>178</t>
        </is>
      </c>
      <c r="E54" s="2">
        <f>HYPERLINK("https://www.britishcycling.org.uk/points?person_id=370578&amp;year=2024&amp;type=national&amp;d=6","Results")</f>
        <v/>
      </c>
    </row>
    <row r="55">
      <c r="A55" t="inlineStr">
        <is>
          <t>54</t>
        </is>
      </c>
      <c r="B55" t="inlineStr">
        <is>
          <t>Richard Wallwork</t>
        </is>
      </c>
      <c r="C55" t="inlineStr">
        <is>
          <t>Team Milton Keynes</t>
        </is>
      </c>
      <c r="D55" t="inlineStr">
        <is>
          <t>176</t>
        </is>
      </c>
      <c r="E55" s="2">
        <f>HYPERLINK("https://www.britishcycling.org.uk/points?person_id=273320&amp;year=2024&amp;type=national&amp;d=6","Results")</f>
        <v/>
      </c>
    </row>
    <row r="56">
      <c r="A56" t="inlineStr">
        <is>
          <t>55</t>
        </is>
      </c>
      <c r="B56" t="inlineStr">
        <is>
          <t>Mark Gallagher</t>
        </is>
      </c>
      <c r="C56" t="inlineStr">
        <is>
          <t>Dynamic Rides CC</t>
        </is>
      </c>
      <c r="D56" t="inlineStr">
        <is>
          <t>171</t>
        </is>
      </c>
      <c r="E56" s="2">
        <f>HYPERLINK("https://www.britishcycling.org.uk/points?person_id=691410&amp;year=2024&amp;type=national&amp;d=6","Results")</f>
        <v/>
      </c>
    </row>
    <row r="57">
      <c r="A57" t="inlineStr">
        <is>
          <t>56</t>
        </is>
      </c>
      <c r="B57" t="inlineStr">
        <is>
          <t>Kristian Bravin</t>
        </is>
      </c>
      <c r="C57" t="inlineStr">
        <is>
          <t>Pedal Power Loughborough</t>
        </is>
      </c>
      <c r="D57" t="inlineStr">
        <is>
          <t>162</t>
        </is>
      </c>
      <c r="E57" s="2">
        <f>HYPERLINK("https://www.britishcycling.org.uk/points?person_id=47312&amp;year=2024&amp;type=national&amp;d=6","Results")</f>
        <v/>
      </c>
    </row>
    <row r="58">
      <c r="A58" t="inlineStr">
        <is>
          <t>57</t>
        </is>
      </c>
      <c r="B58" t="inlineStr">
        <is>
          <t>Richard Edge</t>
        </is>
      </c>
      <c r="C58" t="inlineStr">
        <is>
          <t>Grity Race Team</t>
        </is>
      </c>
      <c r="D58" t="inlineStr">
        <is>
          <t>156</t>
        </is>
      </c>
      <c r="E58" s="2">
        <f>HYPERLINK("https://www.britishcycling.org.uk/points?person_id=14859&amp;year=2024&amp;type=national&amp;d=6","Results")</f>
        <v/>
      </c>
    </row>
    <row r="59">
      <c r="A59" t="inlineStr">
        <is>
          <t>58</t>
        </is>
      </c>
      <c r="B59" t="inlineStr">
        <is>
          <t>Mark Remon</t>
        </is>
      </c>
      <c r="C59" t="inlineStr">
        <is>
          <t>Dyson Cycles</t>
        </is>
      </c>
      <c r="D59" t="inlineStr">
        <is>
          <t>156</t>
        </is>
      </c>
      <c r="E59" s="2">
        <f>HYPERLINK("https://www.britishcycling.org.uk/points?person_id=218689&amp;year=2024&amp;type=national&amp;d=6","Results")</f>
        <v/>
      </c>
    </row>
    <row r="60">
      <c r="A60" t="inlineStr">
        <is>
          <t>59</t>
        </is>
      </c>
      <c r="B60" t="inlineStr">
        <is>
          <t>Christian Nightingale</t>
        </is>
      </c>
      <c r="C60" t="inlineStr">
        <is>
          <t>Nottingham Clarion CC</t>
        </is>
      </c>
      <c r="D60" t="inlineStr">
        <is>
          <t>152</t>
        </is>
      </c>
      <c r="E60" s="2">
        <f>HYPERLINK("https://www.britishcycling.org.uk/points?person_id=523157&amp;year=2024&amp;type=national&amp;d=6","Results")</f>
        <v/>
      </c>
    </row>
    <row r="61">
      <c r="A61" t="inlineStr">
        <is>
          <t>60</t>
        </is>
      </c>
      <c r="B61" t="inlineStr">
        <is>
          <t>Steve Robertson</t>
        </is>
      </c>
      <c r="C61" t="inlineStr">
        <is>
          <t>Ilkley Cycling Club</t>
        </is>
      </c>
      <c r="D61" t="inlineStr">
        <is>
          <t>152</t>
        </is>
      </c>
      <c r="E61" s="2">
        <f>HYPERLINK("https://www.britishcycling.org.uk/points?person_id=694456&amp;year=2024&amp;type=national&amp;d=6","Results")</f>
        <v/>
      </c>
    </row>
    <row r="62">
      <c r="A62" t="inlineStr">
        <is>
          <t>61</t>
        </is>
      </c>
      <c r="B62" t="inlineStr">
        <is>
          <t>Adrian Hill</t>
        </is>
      </c>
      <c r="C62" t="inlineStr">
        <is>
          <t>Wilsons Wheels Race Team</t>
        </is>
      </c>
      <c r="D62" t="inlineStr">
        <is>
          <t>151</t>
        </is>
      </c>
      <c r="E62" s="2">
        <f>HYPERLINK("https://www.britishcycling.org.uk/points?person_id=302293&amp;year=2024&amp;type=national&amp;d=6","Results")</f>
        <v/>
      </c>
    </row>
    <row r="63">
      <c r="A63" t="inlineStr">
        <is>
          <t>62</t>
        </is>
      </c>
      <c r="B63" t="inlineStr">
        <is>
          <t>Mark Shepherd</t>
        </is>
      </c>
      <c r="C63" t="inlineStr"/>
      <c r="D63" t="inlineStr">
        <is>
          <t>151</t>
        </is>
      </c>
      <c r="E63" s="2">
        <f>HYPERLINK("https://www.britishcycling.org.uk/points?person_id=14516&amp;year=2024&amp;type=national&amp;d=6","Results")</f>
        <v/>
      </c>
    </row>
    <row r="64">
      <c r="A64" t="inlineStr">
        <is>
          <t>63</t>
        </is>
      </c>
      <c r="B64" t="inlineStr">
        <is>
          <t>James Bovey</t>
        </is>
      </c>
      <c r="C64" t="inlineStr">
        <is>
          <t>Mid Devon CC</t>
        </is>
      </c>
      <c r="D64" t="inlineStr">
        <is>
          <t>150</t>
        </is>
      </c>
      <c r="E64" s="2">
        <f>HYPERLINK("https://www.britishcycling.org.uk/points?person_id=119807&amp;year=2024&amp;type=national&amp;d=6","Results")</f>
        <v/>
      </c>
    </row>
    <row r="65">
      <c r="A65" t="inlineStr">
        <is>
          <t>64</t>
        </is>
      </c>
      <c r="B65" t="inlineStr">
        <is>
          <t>Douglas Cameron</t>
        </is>
      </c>
      <c r="C65" t="inlineStr"/>
      <c r="D65" t="inlineStr">
        <is>
          <t>150</t>
        </is>
      </c>
      <c r="E65" s="2">
        <f>HYPERLINK("https://www.britishcycling.org.uk/points?person_id=68115&amp;year=2024&amp;type=national&amp;d=6","Results")</f>
        <v/>
      </c>
    </row>
    <row r="66">
      <c r="A66" t="inlineStr">
        <is>
          <t>65</t>
        </is>
      </c>
      <c r="B66" t="inlineStr">
        <is>
          <t>Martin Stanley</t>
        </is>
      </c>
      <c r="C66" t="inlineStr">
        <is>
          <t>Didcot Phoenix CC</t>
        </is>
      </c>
      <c r="D66" t="inlineStr">
        <is>
          <t>148</t>
        </is>
      </c>
      <c r="E66" s="2">
        <f>HYPERLINK("https://www.britishcycling.org.uk/points?person_id=233853&amp;year=2024&amp;type=national&amp;d=6","Results")</f>
        <v/>
      </c>
    </row>
    <row r="67">
      <c r="A67" t="inlineStr">
        <is>
          <t>66</t>
        </is>
      </c>
      <c r="B67" t="inlineStr">
        <is>
          <t>Tim Carpenter</t>
        </is>
      </c>
      <c r="C67" t="inlineStr">
        <is>
          <t>Exeter Wheelers</t>
        </is>
      </c>
      <c r="D67" t="inlineStr">
        <is>
          <t>146</t>
        </is>
      </c>
      <c r="E67" s="2">
        <f>HYPERLINK("https://www.britishcycling.org.uk/points?person_id=41877&amp;year=2024&amp;type=national&amp;d=6","Results")</f>
        <v/>
      </c>
    </row>
    <row r="68">
      <c r="A68" t="inlineStr">
        <is>
          <t>67</t>
        </is>
      </c>
      <c r="B68" t="inlineStr">
        <is>
          <t>Dave Allen</t>
        </is>
      </c>
      <c r="C68" t="inlineStr">
        <is>
          <t>Alford Wheelers</t>
        </is>
      </c>
      <c r="D68" t="inlineStr">
        <is>
          <t>144</t>
        </is>
      </c>
      <c r="E68" s="2">
        <f>HYPERLINK("https://www.britishcycling.org.uk/points?person_id=172366&amp;year=2024&amp;type=national&amp;d=6","Results")</f>
        <v/>
      </c>
    </row>
    <row r="69">
      <c r="A69" t="inlineStr">
        <is>
          <t>68</t>
        </is>
      </c>
      <c r="B69" t="inlineStr">
        <is>
          <t>Martin Kennedy</t>
        </is>
      </c>
      <c r="C69" t="inlineStr">
        <is>
          <t>Ellmore Factory Racing</t>
        </is>
      </c>
      <c r="D69" t="inlineStr">
        <is>
          <t>144</t>
        </is>
      </c>
      <c r="E69" s="2">
        <f>HYPERLINK("https://www.britishcycling.org.uk/points?person_id=48856&amp;year=2024&amp;type=national&amp;d=6","Results")</f>
        <v/>
      </c>
    </row>
    <row r="70">
      <c r="A70" t="inlineStr">
        <is>
          <t>69</t>
        </is>
      </c>
      <c r="B70" t="inlineStr">
        <is>
          <t>Darren Robson</t>
        </is>
      </c>
      <c r="C70" t="inlineStr">
        <is>
          <t>Muckle Cycle Club</t>
        </is>
      </c>
      <c r="D70" t="inlineStr">
        <is>
          <t>142</t>
        </is>
      </c>
      <c r="E70" s="2">
        <f>HYPERLINK("https://www.britishcycling.org.uk/points?person_id=408580&amp;year=2024&amp;type=national&amp;d=6","Results")</f>
        <v/>
      </c>
    </row>
    <row r="71">
      <c r="A71" t="inlineStr">
        <is>
          <t>70</t>
        </is>
      </c>
      <c r="B71" t="inlineStr">
        <is>
          <t>Jeremy Shotter</t>
        </is>
      </c>
      <c r="C71" t="inlineStr">
        <is>
          <t>Brighton Excelsior CC</t>
        </is>
      </c>
      <c r="D71" t="inlineStr">
        <is>
          <t>139</t>
        </is>
      </c>
      <c r="E71" s="2">
        <f>HYPERLINK("https://www.britishcycling.org.uk/points?person_id=239251&amp;year=2024&amp;type=national&amp;d=6","Results")</f>
        <v/>
      </c>
    </row>
    <row r="72">
      <c r="A72" t="inlineStr">
        <is>
          <t>71</t>
        </is>
      </c>
      <c r="B72" t="inlineStr">
        <is>
          <t>Mark Wood</t>
        </is>
      </c>
      <c r="C72" t="inlineStr">
        <is>
          <t>Barrow Central Wheelers</t>
        </is>
      </c>
      <c r="D72" t="inlineStr">
        <is>
          <t>139</t>
        </is>
      </c>
      <c r="E72" s="2">
        <f>HYPERLINK("https://www.britishcycling.org.uk/points?person_id=856756&amp;year=2024&amp;type=national&amp;d=6","Results")</f>
        <v/>
      </c>
    </row>
    <row r="73">
      <c r="A73" t="inlineStr">
        <is>
          <t>72</t>
        </is>
      </c>
      <c r="B73" t="inlineStr">
        <is>
          <t>Patrick Foley</t>
        </is>
      </c>
      <c r="C73" t="inlineStr"/>
      <c r="D73" t="inlineStr">
        <is>
          <t>137</t>
        </is>
      </c>
      <c r="E73" s="2">
        <f>HYPERLINK("https://www.britishcycling.org.uk/points?person_id=36511&amp;year=2024&amp;type=national&amp;d=6","Results")</f>
        <v/>
      </c>
    </row>
    <row r="74">
      <c r="A74" t="inlineStr">
        <is>
          <t>73</t>
        </is>
      </c>
      <c r="B74" t="inlineStr">
        <is>
          <t>Bill Kay</t>
        </is>
      </c>
      <c r="C74" t="inlineStr">
        <is>
          <t>Reifen Racing</t>
        </is>
      </c>
      <c r="D74" t="inlineStr">
        <is>
          <t>136</t>
        </is>
      </c>
      <c r="E74" s="2">
        <f>HYPERLINK("https://www.britishcycling.org.uk/points?person_id=259706&amp;year=2024&amp;type=national&amp;d=6","Results")</f>
        <v/>
      </c>
    </row>
    <row r="75">
      <c r="A75" t="inlineStr">
        <is>
          <t>74</t>
        </is>
      </c>
      <c r="B75" t="inlineStr">
        <is>
          <t>Chris Ames</t>
        </is>
      </c>
      <c r="C75" t="inlineStr">
        <is>
          <t>Newport Phoenix CC</t>
        </is>
      </c>
      <c r="D75" t="inlineStr">
        <is>
          <t>135</t>
        </is>
      </c>
      <c r="E75" s="2">
        <f>HYPERLINK("https://www.britishcycling.org.uk/points?person_id=12397&amp;year=2024&amp;type=national&amp;d=6","Results")</f>
        <v/>
      </c>
    </row>
    <row r="76">
      <c r="A76" t="inlineStr">
        <is>
          <t>75</t>
        </is>
      </c>
      <c r="B76" t="inlineStr">
        <is>
          <t>Jeremy Harrold</t>
        </is>
      </c>
      <c r="C76" t="inlineStr">
        <is>
          <t>Aerologic RT</t>
        </is>
      </c>
      <c r="D76" t="inlineStr">
        <is>
          <t>134</t>
        </is>
      </c>
      <c r="E76" s="2">
        <f>HYPERLINK("https://www.britishcycling.org.uk/points?person_id=980719&amp;year=2024&amp;type=national&amp;d=6","Results")</f>
        <v/>
      </c>
    </row>
    <row r="77">
      <c r="A77" t="inlineStr">
        <is>
          <t>76</t>
        </is>
      </c>
      <c r="B77" t="inlineStr">
        <is>
          <t>Jeremy Parsons</t>
        </is>
      </c>
      <c r="C77" t="inlineStr">
        <is>
          <t>Team TMC - Strada Wheels</t>
        </is>
      </c>
      <c r="D77" t="inlineStr">
        <is>
          <t>130</t>
        </is>
      </c>
      <c r="E77" s="2">
        <f>HYPERLINK("https://www.britishcycling.org.uk/points?person_id=222815&amp;year=2024&amp;type=national&amp;d=6","Results")</f>
        <v/>
      </c>
    </row>
    <row r="78">
      <c r="A78" t="inlineStr">
        <is>
          <t>77</t>
        </is>
      </c>
      <c r="B78" t="inlineStr">
        <is>
          <t>Andrew Johnston</t>
        </is>
      </c>
      <c r="C78" t="inlineStr">
        <is>
          <t>Clifton CC</t>
        </is>
      </c>
      <c r="D78" t="inlineStr">
        <is>
          <t>129</t>
        </is>
      </c>
      <c r="E78" s="2">
        <f>HYPERLINK("https://www.britishcycling.org.uk/points?person_id=14729&amp;year=2024&amp;type=national&amp;d=6","Results")</f>
        <v/>
      </c>
    </row>
    <row r="79">
      <c r="A79" t="inlineStr">
        <is>
          <t>78</t>
        </is>
      </c>
      <c r="B79" t="inlineStr">
        <is>
          <t>Fraser Johnson</t>
        </is>
      </c>
      <c r="C79" t="inlineStr">
        <is>
          <t>Hemel Hempstead CC</t>
        </is>
      </c>
      <c r="D79" t="inlineStr">
        <is>
          <t>128</t>
        </is>
      </c>
      <c r="E79" s="2">
        <f>HYPERLINK("https://www.britishcycling.org.uk/points?person_id=577968&amp;year=2024&amp;type=national&amp;d=6","Results")</f>
        <v/>
      </c>
    </row>
    <row r="80">
      <c r="A80" t="inlineStr">
        <is>
          <t>79</t>
        </is>
      </c>
      <c r="B80" t="inlineStr">
        <is>
          <t>Steven Bloor</t>
        </is>
      </c>
      <c r="C80" t="inlineStr">
        <is>
          <t>Matlock CC</t>
        </is>
      </c>
      <c r="D80" t="inlineStr">
        <is>
          <t>127</t>
        </is>
      </c>
      <c r="E80" s="2">
        <f>HYPERLINK("https://www.britishcycling.org.uk/points?person_id=6620&amp;year=2024&amp;type=national&amp;d=6","Results")</f>
        <v/>
      </c>
    </row>
    <row r="81">
      <c r="A81" t="inlineStr">
        <is>
          <t>80</t>
        </is>
      </c>
      <c r="B81" t="inlineStr">
        <is>
          <t>Steve Coombs</t>
        </is>
      </c>
      <c r="C81" t="inlineStr">
        <is>
          <t>Rockingham Forest Whls</t>
        </is>
      </c>
      <c r="D81" t="inlineStr">
        <is>
          <t>124</t>
        </is>
      </c>
      <c r="E81" s="2">
        <f>HYPERLINK("https://www.britishcycling.org.uk/points?person_id=730592&amp;year=2024&amp;type=national&amp;d=6","Results")</f>
        <v/>
      </c>
    </row>
    <row r="82">
      <c r="A82" t="inlineStr">
        <is>
          <t>81</t>
        </is>
      </c>
      <c r="B82" t="inlineStr">
        <is>
          <t>Ian Day</t>
        </is>
      </c>
      <c r="C82" t="inlineStr">
        <is>
          <t>ROTOR Race Team</t>
        </is>
      </c>
      <c r="D82" t="inlineStr">
        <is>
          <t>123</t>
        </is>
      </c>
      <c r="E82" s="2">
        <f>HYPERLINK("https://www.britishcycling.org.uk/points?person_id=193146&amp;year=2024&amp;type=national&amp;d=6","Results")</f>
        <v/>
      </c>
    </row>
    <row r="83">
      <c r="A83" t="inlineStr">
        <is>
          <t>82</t>
        </is>
      </c>
      <c r="B83" t="inlineStr">
        <is>
          <t>Stefan Macina</t>
        </is>
      </c>
      <c r="C83" t="inlineStr">
        <is>
          <t>Shibden Cycling Club</t>
        </is>
      </c>
      <c r="D83" t="inlineStr">
        <is>
          <t>120</t>
        </is>
      </c>
      <c r="E83" s="2">
        <f>HYPERLINK("https://www.britishcycling.org.uk/points?person_id=2125&amp;year=2024&amp;type=national&amp;d=6","Results")</f>
        <v/>
      </c>
    </row>
    <row r="84">
      <c r="A84" t="inlineStr">
        <is>
          <t>83</t>
        </is>
      </c>
      <c r="B84" t="inlineStr">
        <is>
          <t>Jim McConnel</t>
        </is>
      </c>
      <c r="C84" t="inlineStr"/>
      <c r="D84" t="inlineStr">
        <is>
          <t>120</t>
        </is>
      </c>
      <c r="E84" s="2">
        <f>HYPERLINK("https://www.britishcycling.org.uk/points?person_id=172442&amp;year=2024&amp;type=national&amp;d=6","Results")</f>
        <v/>
      </c>
    </row>
    <row r="85">
      <c r="A85" t="inlineStr">
        <is>
          <t>84</t>
        </is>
      </c>
      <c r="B85" t="inlineStr">
        <is>
          <t>Glenn McMenamin</t>
        </is>
      </c>
      <c r="C85" t="inlineStr">
        <is>
          <t>Equipe Velo</t>
        </is>
      </c>
      <c r="D85" t="inlineStr">
        <is>
          <t>119</t>
        </is>
      </c>
      <c r="E85" s="2">
        <f>HYPERLINK("https://www.britishcycling.org.uk/points?person_id=72436&amp;year=2024&amp;type=national&amp;d=6","Results")</f>
        <v/>
      </c>
    </row>
    <row r="86">
      <c r="A86" t="inlineStr">
        <is>
          <t>85</t>
        </is>
      </c>
      <c r="B86" t="inlineStr">
        <is>
          <t>James Smith</t>
        </is>
      </c>
      <c r="C86" t="inlineStr"/>
      <c r="D86" t="inlineStr">
        <is>
          <t>119</t>
        </is>
      </c>
      <c r="E86" s="2">
        <f>HYPERLINK("https://www.britishcycling.org.uk/points?person_id=688784&amp;year=2024&amp;type=national&amp;d=6","Results")</f>
        <v/>
      </c>
    </row>
    <row r="87">
      <c r="A87" t="inlineStr">
        <is>
          <t>86</t>
        </is>
      </c>
      <c r="B87" t="inlineStr">
        <is>
          <t>Carl Davey</t>
        </is>
      </c>
      <c r="C87" t="inlineStr">
        <is>
          <t>Diss &amp; District CC</t>
        </is>
      </c>
      <c r="D87" t="inlineStr">
        <is>
          <t>118</t>
        </is>
      </c>
      <c r="E87" s="2">
        <f>HYPERLINK("https://www.britishcycling.org.uk/points?person_id=928842&amp;year=2024&amp;type=national&amp;d=6","Results")</f>
        <v/>
      </c>
    </row>
    <row r="88">
      <c r="A88" t="inlineStr">
        <is>
          <t>87</t>
        </is>
      </c>
      <c r="B88" t="inlineStr">
        <is>
          <t>Douglas Sharp</t>
        </is>
      </c>
      <c r="C88" t="inlineStr">
        <is>
          <t>Forth Velo</t>
        </is>
      </c>
      <c r="D88" t="inlineStr">
        <is>
          <t>118</t>
        </is>
      </c>
      <c r="E88" s="2">
        <f>HYPERLINK("https://www.britishcycling.org.uk/points?person_id=324787&amp;year=2024&amp;type=national&amp;d=6","Results")</f>
        <v/>
      </c>
    </row>
    <row r="89">
      <c r="A89" t="inlineStr">
        <is>
          <t>88</t>
        </is>
      </c>
      <c r="B89" t="inlineStr">
        <is>
          <t>Jon Lyons</t>
        </is>
      </c>
      <c r="C89" t="inlineStr">
        <is>
          <t>GS Invicta-ELO-Herberts Cycles</t>
        </is>
      </c>
      <c r="D89" t="inlineStr">
        <is>
          <t>117</t>
        </is>
      </c>
      <c r="E89" s="2">
        <f>HYPERLINK("https://www.britishcycling.org.uk/points?person_id=69332&amp;year=2024&amp;type=national&amp;d=6","Results")</f>
        <v/>
      </c>
    </row>
    <row r="90">
      <c r="A90" t="inlineStr">
        <is>
          <t>89</t>
        </is>
      </c>
      <c r="B90" t="inlineStr">
        <is>
          <t>Andy Daniels</t>
        </is>
      </c>
      <c r="C90" t="inlineStr">
        <is>
          <t>Aylsham Road Club</t>
        </is>
      </c>
      <c r="D90" t="inlineStr">
        <is>
          <t>116</t>
        </is>
      </c>
      <c r="E90" s="2">
        <f>HYPERLINK("https://www.britishcycling.org.uk/points?person_id=385315&amp;year=2024&amp;type=national&amp;d=6","Results")</f>
        <v/>
      </c>
    </row>
    <row r="91">
      <c r="A91" t="inlineStr">
        <is>
          <t>90</t>
        </is>
      </c>
      <c r="B91" t="inlineStr">
        <is>
          <t>Peter Fielding-Smith</t>
        </is>
      </c>
      <c r="C91" t="inlineStr">
        <is>
          <t>Wilsons Wheels Race Team</t>
        </is>
      </c>
      <c r="D91" t="inlineStr">
        <is>
          <t>115</t>
        </is>
      </c>
      <c r="E91" s="2">
        <f>HYPERLINK("https://www.britishcycling.org.uk/points?person_id=35291&amp;year=2024&amp;type=national&amp;d=6","Results")</f>
        <v/>
      </c>
    </row>
    <row r="92">
      <c r="A92" t="inlineStr">
        <is>
          <t>91</t>
        </is>
      </c>
      <c r="B92" t="inlineStr">
        <is>
          <t>Mark Jay</t>
        </is>
      </c>
      <c r="C92" t="inlineStr"/>
      <c r="D92" t="inlineStr">
        <is>
          <t>114</t>
        </is>
      </c>
      <c r="E92" s="2">
        <f>HYPERLINK("https://www.britishcycling.org.uk/points?person_id=766167&amp;year=2024&amp;type=national&amp;d=6","Results")</f>
        <v/>
      </c>
    </row>
    <row r="93">
      <c r="A93" t="inlineStr">
        <is>
          <t>92</t>
        </is>
      </c>
      <c r="B93" t="inlineStr">
        <is>
          <t>Leon Field</t>
        </is>
      </c>
      <c r="C93" t="inlineStr">
        <is>
          <t>Dynamic Rides CC</t>
        </is>
      </c>
      <c r="D93" t="inlineStr">
        <is>
          <t>112</t>
        </is>
      </c>
      <c r="E93" s="2">
        <f>HYPERLINK("https://www.britishcycling.org.uk/points?person_id=487817&amp;year=2024&amp;type=national&amp;d=6","Results")</f>
        <v/>
      </c>
    </row>
    <row r="94">
      <c r="A94" t="inlineStr">
        <is>
          <t>93</t>
        </is>
      </c>
      <c r="B94" t="inlineStr">
        <is>
          <t>John Hines</t>
        </is>
      </c>
      <c r="C94" t="inlineStr">
        <is>
          <t>Newport Shropshire CC</t>
        </is>
      </c>
      <c r="D94" t="inlineStr">
        <is>
          <t>112</t>
        </is>
      </c>
      <c r="E94" s="2">
        <f>HYPERLINK("https://www.britishcycling.org.uk/points?person_id=98865&amp;year=2024&amp;type=national&amp;d=6","Results")</f>
        <v/>
      </c>
    </row>
    <row r="95">
      <c r="A95" t="inlineStr">
        <is>
          <t>94</t>
        </is>
      </c>
      <c r="B95" t="inlineStr">
        <is>
          <t>James Melville</t>
        </is>
      </c>
      <c r="C95" t="inlineStr">
        <is>
          <t>Glasgow United CC</t>
        </is>
      </c>
      <c r="D95" t="inlineStr">
        <is>
          <t>112</t>
        </is>
      </c>
      <c r="E95" s="2">
        <f>HYPERLINK("https://www.britishcycling.org.uk/points?person_id=72838&amp;year=2024&amp;type=national&amp;d=6","Results")</f>
        <v/>
      </c>
    </row>
    <row r="96">
      <c r="A96" t="inlineStr">
        <is>
          <t>95</t>
        </is>
      </c>
      <c r="B96" t="inlineStr">
        <is>
          <t>Paul Bond</t>
        </is>
      </c>
      <c r="C96" t="inlineStr"/>
      <c r="D96" t="inlineStr">
        <is>
          <t>108</t>
        </is>
      </c>
      <c r="E96" s="2">
        <f>HYPERLINK("https://www.britishcycling.org.uk/points?person_id=30468&amp;year=2024&amp;type=national&amp;d=6","Results")</f>
        <v/>
      </c>
    </row>
    <row r="97">
      <c r="A97" t="inlineStr">
        <is>
          <t>96</t>
        </is>
      </c>
      <c r="B97" t="inlineStr">
        <is>
          <t>Gideon Aroussi</t>
        </is>
      </c>
      <c r="C97" t="inlineStr">
        <is>
          <t>Exeter Wheelers</t>
        </is>
      </c>
      <c r="D97" t="inlineStr">
        <is>
          <t>106</t>
        </is>
      </c>
      <c r="E97" s="2">
        <f>HYPERLINK("https://www.britishcycling.org.uk/points?person_id=547274&amp;year=2024&amp;type=national&amp;d=6","Results")</f>
        <v/>
      </c>
    </row>
    <row r="98">
      <c r="A98" t="inlineStr">
        <is>
          <t>97</t>
        </is>
      </c>
      <c r="B98" t="inlineStr">
        <is>
          <t>Wayne Reeks</t>
        </is>
      </c>
      <c r="C98" t="inlineStr">
        <is>
          <t>Gannet CC</t>
        </is>
      </c>
      <c r="D98" t="inlineStr">
        <is>
          <t>106</t>
        </is>
      </c>
      <c r="E98" s="2">
        <f>HYPERLINK("https://www.britishcycling.org.uk/points?person_id=759294&amp;year=2024&amp;type=national&amp;d=6","Results")</f>
        <v/>
      </c>
    </row>
    <row r="99">
      <c r="A99" t="inlineStr">
        <is>
          <t>98</t>
        </is>
      </c>
      <c r="B99" t="inlineStr">
        <is>
          <t>Christopher Lewis</t>
        </is>
      </c>
      <c r="C99" t="inlineStr">
        <is>
          <t>Gower Riders</t>
        </is>
      </c>
      <c r="D99" t="inlineStr">
        <is>
          <t>105</t>
        </is>
      </c>
      <c r="E99" s="2">
        <f>HYPERLINK("https://www.britishcycling.org.uk/points?person_id=53240&amp;year=2024&amp;type=national&amp;d=6","Results")</f>
        <v/>
      </c>
    </row>
    <row r="100">
      <c r="A100" t="inlineStr">
        <is>
          <t>99</t>
        </is>
      </c>
      <c r="B100" t="inlineStr">
        <is>
          <t>Darren Wheeler</t>
        </is>
      </c>
      <c r="C100" t="inlineStr"/>
      <c r="D100" t="inlineStr">
        <is>
          <t>104</t>
        </is>
      </c>
      <c r="E100" s="2">
        <f>HYPERLINK("https://www.britishcycling.org.uk/points?person_id=412398&amp;year=2024&amp;type=national&amp;d=6","Results")</f>
        <v/>
      </c>
    </row>
    <row r="101">
      <c r="A101" t="inlineStr">
        <is>
          <t>100</t>
        </is>
      </c>
      <c r="B101" t="inlineStr">
        <is>
          <t>Johnathan Dominguez</t>
        </is>
      </c>
      <c r="C101" t="inlineStr">
        <is>
          <t>http:www.giant-helston.co.uk</t>
        </is>
      </c>
      <c r="D101" t="inlineStr">
        <is>
          <t>102</t>
        </is>
      </c>
      <c r="E101" s="2">
        <f>HYPERLINK("https://www.britishcycling.org.uk/points?person_id=65395&amp;year=2024&amp;type=national&amp;d=6","Results")</f>
        <v/>
      </c>
    </row>
    <row r="102">
      <c r="A102" t="inlineStr">
        <is>
          <t>101</t>
        </is>
      </c>
      <c r="B102" t="inlineStr">
        <is>
          <t>Shaun Green</t>
        </is>
      </c>
      <c r="C102" t="inlineStr"/>
      <c r="D102" t="inlineStr">
        <is>
          <t>101</t>
        </is>
      </c>
      <c r="E102" s="2">
        <f>HYPERLINK("https://www.britishcycling.org.uk/points?person_id=71756&amp;year=2024&amp;type=national&amp;d=6","Results")</f>
        <v/>
      </c>
    </row>
    <row r="103">
      <c r="A103" t="inlineStr">
        <is>
          <t>102</t>
        </is>
      </c>
      <c r="B103" t="inlineStr">
        <is>
          <t>Andrew Plewes</t>
        </is>
      </c>
      <c r="C103" t="inlineStr">
        <is>
          <t>Liss Cycling Club</t>
        </is>
      </c>
      <c r="D103" t="inlineStr">
        <is>
          <t>101</t>
        </is>
      </c>
      <c r="E103" s="2">
        <f>HYPERLINK("https://www.britishcycling.org.uk/points?person_id=33603&amp;year=2024&amp;type=national&amp;d=6","Results")</f>
        <v/>
      </c>
    </row>
    <row r="104">
      <c r="A104" t="inlineStr">
        <is>
          <t>103</t>
        </is>
      </c>
      <c r="B104" t="inlineStr">
        <is>
          <t>Andrew Powers</t>
        </is>
      </c>
      <c r="C104" t="inlineStr"/>
      <c r="D104" t="inlineStr">
        <is>
          <t>101</t>
        </is>
      </c>
      <c r="E104" s="2">
        <f>HYPERLINK("https://www.britishcycling.org.uk/points?person_id=13565&amp;year=2024&amp;type=national&amp;d=6","Results")</f>
        <v/>
      </c>
    </row>
    <row r="105">
      <c r="A105" t="inlineStr">
        <is>
          <t>104</t>
        </is>
      </c>
      <c r="B105" t="inlineStr">
        <is>
          <t>Paul Hopkins</t>
        </is>
      </c>
      <c r="C105" t="inlineStr">
        <is>
          <t>Gillingham and District Wheelers</t>
        </is>
      </c>
      <c r="D105" t="inlineStr">
        <is>
          <t>100</t>
        </is>
      </c>
      <c r="E105" s="2">
        <f>HYPERLINK("https://www.britishcycling.org.uk/points?person_id=44385&amp;year=2024&amp;type=national&amp;d=6","Results")</f>
        <v/>
      </c>
    </row>
    <row r="106">
      <c r="A106" t="inlineStr">
        <is>
          <t>105</t>
        </is>
      </c>
      <c r="B106" t="inlineStr">
        <is>
          <t>Ian O'Brien</t>
        </is>
      </c>
      <c r="C106" t="inlineStr"/>
      <c r="D106" t="inlineStr">
        <is>
          <t>98</t>
        </is>
      </c>
      <c r="E106" s="2">
        <f>HYPERLINK("https://www.britishcycling.org.uk/points?person_id=18306&amp;year=2024&amp;type=national&amp;d=6","Results")</f>
        <v/>
      </c>
    </row>
    <row r="107">
      <c r="A107" t="inlineStr">
        <is>
          <t>106</t>
        </is>
      </c>
      <c r="B107" t="inlineStr">
        <is>
          <t>Ian Jeremiah</t>
        </is>
      </c>
      <c r="C107" t="inlineStr">
        <is>
          <t>Cardiff JIF</t>
        </is>
      </c>
      <c r="D107" t="inlineStr">
        <is>
          <t>94</t>
        </is>
      </c>
      <c r="E107" s="2">
        <f>HYPERLINK("https://www.britishcycling.org.uk/points?person_id=63176&amp;year=2024&amp;type=national&amp;d=6","Results")</f>
        <v/>
      </c>
    </row>
    <row r="108">
      <c r="A108" t="inlineStr">
        <is>
          <t>107</t>
        </is>
      </c>
      <c r="B108" t="inlineStr">
        <is>
          <t>James Wallace</t>
        </is>
      </c>
      <c r="C108" t="inlineStr">
        <is>
          <t>Lee Velo (South East London)</t>
        </is>
      </c>
      <c r="D108" t="inlineStr">
        <is>
          <t>94</t>
        </is>
      </c>
      <c r="E108" s="2">
        <f>HYPERLINK("https://www.britishcycling.org.uk/points?person_id=23579&amp;year=2024&amp;type=national&amp;d=6","Results")</f>
        <v/>
      </c>
    </row>
    <row r="109">
      <c r="A109" t="inlineStr">
        <is>
          <t>108</t>
        </is>
      </c>
      <c r="B109" t="inlineStr">
        <is>
          <t>David Handley</t>
        </is>
      </c>
      <c r="C109" t="inlineStr">
        <is>
          <t>Lincoln Cycling Club</t>
        </is>
      </c>
      <c r="D109" t="inlineStr">
        <is>
          <t>93</t>
        </is>
      </c>
      <c r="E109" s="2">
        <f>HYPERLINK("https://www.britishcycling.org.uk/points?person_id=727886&amp;year=2024&amp;type=national&amp;d=6","Results")</f>
        <v/>
      </c>
    </row>
    <row r="110">
      <c r="A110" t="inlineStr">
        <is>
          <t>109</t>
        </is>
      </c>
      <c r="B110" t="inlineStr">
        <is>
          <t>Bryan Holland</t>
        </is>
      </c>
      <c r="C110" t="inlineStr">
        <is>
          <t>North Road CC</t>
        </is>
      </c>
      <c r="D110" t="inlineStr">
        <is>
          <t>93</t>
        </is>
      </c>
      <c r="E110" s="2">
        <f>HYPERLINK("https://www.britishcycling.org.uk/points?person_id=209264&amp;year=2024&amp;type=national&amp;d=6","Results")</f>
        <v/>
      </c>
    </row>
    <row r="111">
      <c r="A111" t="inlineStr">
        <is>
          <t>110</t>
        </is>
      </c>
      <c r="B111" t="inlineStr">
        <is>
          <t>Kevin Brewer</t>
        </is>
      </c>
      <c r="C111" t="inlineStr">
        <is>
          <t>WestSide Coaching, 73 Degrees</t>
        </is>
      </c>
      <c r="D111" t="inlineStr">
        <is>
          <t>92</t>
        </is>
      </c>
      <c r="E111" s="2">
        <f>HYPERLINK("https://www.britishcycling.org.uk/points?person_id=194614&amp;year=2024&amp;type=national&amp;d=6","Results")</f>
        <v/>
      </c>
    </row>
    <row r="112">
      <c r="A112" t="inlineStr">
        <is>
          <t>111</t>
        </is>
      </c>
      <c r="B112" t="inlineStr">
        <is>
          <t>Richard Taylor</t>
        </is>
      </c>
      <c r="C112" t="inlineStr">
        <is>
          <t>Exeter Wheelers</t>
        </is>
      </c>
      <c r="D112" t="inlineStr">
        <is>
          <t>91</t>
        </is>
      </c>
      <c r="E112" s="2">
        <f>HYPERLINK("https://www.britishcycling.org.uk/points?person_id=70789&amp;year=2024&amp;type=national&amp;d=6","Results")</f>
        <v/>
      </c>
    </row>
    <row r="113">
      <c r="A113" t="inlineStr">
        <is>
          <t>112</t>
        </is>
      </c>
      <c r="B113" t="inlineStr">
        <is>
          <t>Stephen Brown</t>
        </is>
      </c>
      <c r="C113" t="inlineStr">
        <is>
          <t>Portishead Cycling Club</t>
        </is>
      </c>
      <c r="D113" t="inlineStr">
        <is>
          <t>90</t>
        </is>
      </c>
      <c r="E113" s="2">
        <f>HYPERLINK("https://www.britishcycling.org.uk/points?person_id=106005&amp;year=2024&amp;type=national&amp;d=6","Results")</f>
        <v/>
      </c>
    </row>
    <row r="114">
      <c r="A114" t="inlineStr">
        <is>
          <t>113</t>
        </is>
      </c>
      <c r="B114" t="inlineStr">
        <is>
          <t>Phil Mowbray</t>
        </is>
      </c>
      <c r="C114" t="inlineStr"/>
      <c r="D114" t="inlineStr">
        <is>
          <t>90</t>
        </is>
      </c>
      <c r="E114" s="2">
        <f>HYPERLINK("https://www.britishcycling.org.uk/points?person_id=311424&amp;year=2024&amp;type=national&amp;d=6","Results")</f>
        <v/>
      </c>
    </row>
    <row r="115">
      <c r="A115" t="inlineStr">
        <is>
          <t>114</t>
        </is>
      </c>
      <c r="B115" t="inlineStr">
        <is>
          <t>Damian Robertson</t>
        </is>
      </c>
      <c r="C115" t="inlineStr">
        <is>
          <t>CXR</t>
        </is>
      </c>
      <c r="D115" t="inlineStr">
        <is>
          <t>90</t>
        </is>
      </c>
      <c r="E115" s="2">
        <f>HYPERLINK("https://www.britishcycling.org.uk/points?person_id=258304&amp;year=2024&amp;type=national&amp;d=6","Results")</f>
        <v/>
      </c>
    </row>
    <row r="116">
      <c r="A116" t="inlineStr">
        <is>
          <t>115</t>
        </is>
      </c>
      <c r="B116" t="inlineStr">
        <is>
          <t>Keith Sheridan</t>
        </is>
      </c>
      <c r="C116" t="inlineStr">
        <is>
          <t>Magspeed Racing</t>
        </is>
      </c>
      <c r="D116" t="inlineStr">
        <is>
          <t>90</t>
        </is>
      </c>
      <c r="E116" s="2">
        <f>HYPERLINK("https://www.britishcycling.org.uk/points?person_id=69399&amp;year=2024&amp;type=national&amp;d=6","Results")</f>
        <v/>
      </c>
    </row>
    <row r="117">
      <c r="A117" t="inlineStr">
        <is>
          <t>116</t>
        </is>
      </c>
      <c r="B117" t="inlineStr">
        <is>
          <t>Jason Elliott</t>
        </is>
      </c>
      <c r="C117" t="inlineStr">
        <is>
          <t>Bioracer UK RT</t>
        </is>
      </c>
      <c r="D117" t="inlineStr">
        <is>
          <t>88</t>
        </is>
      </c>
      <c r="E117" s="2">
        <f>HYPERLINK("https://www.britishcycling.org.uk/points?person_id=725072&amp;year=2024&amp;type=national&amp;d=6","Results")</f>
        <v/>
      </c>
    </row>
    <row r="118">
      <c r="A118" t="inlineStr">
        <is>
          <t>117</t>
        </is>
      </c>
      <c r="B118" t="inlineStr">
        <is>
          <t>Rob Hope</t>
        </is>
      </c>
      <c r="C118" t="inlineStr">
        <is>
          <t>Chorley Cycling Club</t>
        </is>
      </c>
      <c r="D118" t="inlineStr">
        <is>
          <t>88</t>
        </is>
      </c>
      <c r="E118" s="2">
        <f>HYPERLINK("https://www.britishcycling.org.uk/points?person_id=124720&amp;year=2024&amp;type=national&amp;d=6","Results")</f>
        <v/>
      </c>
    </row>
    <row r="119">
      <c r="A119" t="inlineStr">
        <is>
          <t>118</t>
        </is>
      </c>
      <c r="B119" t="inlineStr">
        <is>
          <t>Norman Blissett</t>
        </is>
      </c>
      <c r="C119" t="inlineStr">
        <is>
          <t>trainSharp Club</t>
        </is>
      </c>
      <c r="D119" t="inlineStr">
        <is>
          <t>86</t>
        </is>
      </c>
      <c r="E119" s="2">
        <f>HYPERLINK("https://www.britishcycling.org.uk/points?person_id=303195&amp;year=2024&amp;type=national&amp;d=6","Results")</f>
        <v/>
      </c>
    </row>
    <row r="120">
      <c r="A120" t="inlineStr">
        <is>
          <t>119</t>
        </is>
      </c>
      <c r="B120" t="inlineStr">
        <is>
          <t>Simon Laws</t>
        </is>
      </c>
      <c r="C120" t="inlineStr">
        <is>
          <t>GS Vecchi</t>
        </is>
      </c>
      <c r="D120" t="inlineStr">
        <is>
          <t>86</t>
        </is>
      </c>
      <c r="E120" s="2">
        <f>HYPERLINK("https://www.britishcycling.org.uk/points?person_id=136646&amp;year=2024&amp;type=national&amp;d=6","Results")</f>
        <v/>
      </c>
    </row>
    <row r="121">
      <c r="A121" t="inlineStr">
        <is>
          <t>120</t>
        </is>
      </c>
      <c r="B121" t="inlineStr">
        <is>
          <t>Ashley Strowger</t>
        </is>
      </c>
      <c r="C121" t="inlineStr">
        <is>
          <t>Aylsham Road Club</t>
        </is>
      </c>
      <c r="D121" t="inlineStr">
        <is>
          <t>86</t>
        </is>
      </c>
      <c r="E121" s="2">
        <f>HYPERLINK("https://www.britishcycling.org.uk/points?person_id=678519&amp;year=2024&amp;type=national&amp;d=6","Results")</f>
        <v/>
      </c>
    </row>
    <row r="122">
      <c r="A122" t="inlineStr">
        <is>
          <t>121</t>
        </is>
      </c>
      <c r="B122" t="inlineStr">
        <is>
          <t>Nick Baldwin</t>
        </is>
      </c>
      <c r="C122" t="inlineStr"/>
      <c r="D122" t="inlineStr">
        <is>
          <t>85</t>
        </is>
      </c>
      <c r="E122" s="2">
        <f>HYPERLINK("https://www.britishcycling.org.uk/points?person_id=14594&amp;year=2024&amp;type=national&amp;d=6","Results")</f>
        <v/>
      </c>
    </row>
    <row r="123">
      <c r="A123" t="inlineStr">
        <is>
          <t>122</t>
        </is>
      </c>
      <c r="B123" t="inlineStr">
        <is>
          <t>Thomas Hinchliffe</t>
        </is>
      </c>
      <c r="C123" t="inlineStr">
        <is>
          <t>Welwyn Wheelers CC</t>
        </is>
      </c>
      <c r="D123" t="inlineStr">
        <is>
          <t>85</t>
        </is>
      </c>
      <c r="E123" s="2">
        <f>HYPERLINK("https://www.britishcycling.org.uk/points?person_id=74541&amp;year=2024&amp;type=national&amp;d=6","Results")</f>
        <v/>
      </c>
    </row>
    <row r="124">
      <c r="A124" t="inlineStr">
        <is>
          <t>123</t>
        </is>
      </c>
      <c r="B124" t="inlineStr">
        <is>
          <t>Justin Bucktrout</t>
        </is>
      </c>
      <c r="C124" t="inlineStr">
        <is>
          <t>Cowley Road Condors</t>
        </is>
      </c>
      <c r="D124" t="inlineStr">
        <is>
          <t>84</t>
        </is>
      </c>
      <c r="E124" s="2">
        <f>HYPERLINK("https://www.britishcycling.org.uk/points?person_id=1086128&amp;year=2024&amp;type=national&amp;d=6","Results")</f>
        <v/>
      </c>
    </row>
    <row r="125">
      <c r="A125" t="inlineStr">
        <is>
          <t>124</t>
        </is>
      </c>
      <c r="B125" t="inlineStr">
        <is>
          <t>Will Hutchins</t>
        </is>
      </c>
      <c r="C125" t="inlineStr">
        <is>
          <t>05/03</t>
        </is>
      </c>
      <c r="D125" t="inlineStr">
        <is>
          <t>83</t>
        </is>
      </c>
      <c r="E125" s="2">
        <f>HYPERLINK("https://www.britishcycling.org.uk/points?person_id=320784&amp;year=2024&amp;type=national&amp;d=6","Results")</f>
        <v/>
      </c>
    </row>
    <row r="126">
      <c r="A126" t="inlineStr">
        <is>
          <t>125</t>
        </is>
      </c>
      <c r="B126" t="inlineStr">
        <is>
          <t>James Sharp</t>
        </is>
      </c>
      <c r="C126" t="inlineStr">
        <is>
          <t>Clifton CC</t>
        </is>
      </c>
      <c r="D126" t="inlineStr">
        <is>
          <t>82</t>
        </is>
      </c>
      <c r="E126" s="2">
        <f>HYPERLINK("https://www.britishcycling.org.uk/points?person_id=68389&amp;year=2024&amp;type=national&amp;d=6","Results")</f>
        <v/>
      </c>
    </row>
    <row r="127">
      <c r="A127" t="inlineStr">
        <is>
          <t>126</t>
        </is>
      </c>
      <c r="B127" t="inlineStr">
        <is>
          <t>Gordon Mackenzie</t>
        </is>
      </c>
      <c r="C127" t="inlineStr">
        <is>
          <t>RT23</t>
        </is>
      </c>
      <c r="D127" t="inlineStr">
        <is>
          <t>81</t>
        </is>
      </c>
      <c r="E127" s="2">
        <f>HYPERLINK("https://www.britishcycling.org.uk/points?person_id=50431&amp;year=2024&amp;type=national&amp;d=6","Results")</f>
        <v/>
      </c>
    </row>
    <row r="128">
      <c r="A128" t="inlineStr">
        <is>
          <t>127</t>
        </is>
      </c>
      <c r="B128" t="inlineStr">
        <is>
          <t>Gareth Richards</t>
        </is>
      </c>
      <c r="C128" t="inlineStr">
        <is>
          <t>Spalding Cycling Club</t>
        </is>
      </c>
      <c r="D128" t="inlineStr">
        <is>
          <t>81</t>
        </is>
      </c>
      <c r="E128" s="2">
        <f>HYPERLINK("https://www.britishcycling.org.uk/points?person_id=129116&amp;year=2024&amp;type=national&amp;d=6","Results")</f>
        <v/>
      </c>
    </row>
    <row r="129">
      <c r="A129" t="inlineStr">
        <is>
          <t>128</t>
        </is>
      </c>
      <c r="B129" t="inlineStr">
        <is>
          <t>Jonathon Snowden</t>
        </is>
      </c>
      <c r="C129" t="inlineStr"/>
      <c r="D129" t="inlineStr">
        <is>
          <t>79</t>
        </is>
      </c>
      <c r="E129" s="2">
        <f>HYPERLINK("https://www.britishcycling.org.uk/points?person_id=185037&amp;year=2024&amp;type=national&amp;d=6","Results")</f>
        <v/>
      </c>
    </row>
    <row r="130">
      <c r="A130" t="inlineStr">
        <is>
          <t>129</t>
        </is>
      </c>
      <c r="B130" t="inlineStr">
        <is>
          <t>Darren Matthews</t>
        </is>
      </c>
      <c r="C130" t="inlineStr">
        <is>
          <t>Yeovil CC</t>
        </is>
      </c>
      <c r="D130" t="inlineStr">
        <is>
          <t>78</t>
        </is>
      </c>
      <c r="E130" s="2">
        <f>HYPERLINK("https://www.britishcycling.org.uk/points?person_id=411787&amp;year=2024&amp;type=national&amp;d=6","Results")</f>
        <v/>
      </c>
    </row>
    <row r="131">
      <c r="A131" t="inlineStr">
        <is>
          <t>130</t>
        </is>
      </c>
      <c r="B131" t="inlineStr">
        <is>
          <t>Adrian Lyons</t>
        </is>
      </c>
      <c r="C131" t="inlineStr">
        <is>
          <t>GS Invicta-ELO-Herberts Cycles</t>
        </is>
      </c>
      <c r="D131" t="inlineStr">
        <is>
          <t>77</t>
        </is>
      </c>
      <c r="E131" s="2">
        <f>HYPERLINK("https://www.britishcycling.org.uk/points?person_id=23622&amp;year=2024&amp;type=national&amp;d=6","Results")</f>
        <v/>
      </c>
    </row>
    <row r="132">
      <c r="A132" t="inlineStr">
        <is>
          <t>131</t>
        </is>
      </c>
      <c r="B132" t="inlineStr">
        <is>
          <t>Michael Aspey</t>
        </is>
      </c>
      <c r="C132" t="inlineStr">
        <is>
          <t>Reifen Racing</t>
        </is>
      </c>
      <c r="D132" t="inlineStr">
        <is>
          <t>75</t>
        </is>
      </c>
      <c r="E132" s="2">
        <f>HYPERLINK("https://www.britishcycling.org.uk/points?person_id=186930&amp;year=2024&amp;type=national&amp;d=6","Results")</f>
        <v/>
      </c>
    </row>
    <row r="133">
      <c r="A133" t="inlineStr">
        <is>
          <t>132</t>
        </is>
      </c>
      <c r="B133" t="inlineStr">
        <is>
          <t>Nigel Dykes</t>
        </is>
      </c>
      <c r="C133" t="inlineStr">
        <is>
          <t>Kendal Cycle Club</t>
        </is>
      </c>
      <c r="D133" t="inlineStr">
        <is>
          <t>74</t>
        </is>
      </c>
      <c r="E133" s="2">
        <f>HYPERLINK("https://www.britishcycling.org.uk/points?person_id=519973&amp;year=2024&amp;type=national&amp;d=6","Results")</f>
        <v/>
      </c>
    </row>
    <row r="134">
      <c r="A134" t="inlineStr">
        <is>
          <t>133</t>
        </is>
      </c>
      <c r="B134" t="inlineStr">
        <is>
          <t>Mark Higham</t>
        </is>
      </c>
      <c r="C134" t="inlineStr">
        <is>
          <t>Clifton CC</t>
        </is>
      </c>
      <c r="D134" t="inlineStr">
        <is>
          <t>74</t>
        </is>
      </c>
      <c r="E134" s="2">
        <f>HYPERLINK("https://www.britishcycling.org.uk/points?person_id=402952&amp;year=2024&amp;type=national&amp;d=6","Results")</f>
        <v/>
      </c>
    </row>
    <row r="135">
      <c r="A135" t="inlineStr">
        <is>
          <t>134</t>
        </is>
      </c>
      <c r="B135" t="inlineStr">
        <is>
          <t>Hans van Nierop</t>
        </is>
      </c>
      <c r="C135" t="inlineStr">
        <is>
          <t>Welland Valley CC</t>
        </is>
      </c>
      <c r="D135" t="inlineStr">
        <is>
          <t>74</t>
        </is>
      </c>
      <c r="E135" s="2">
        <f>HYPERLINK("https://www.britishcycling.org.uk/points?person_id=25794&amp;year=2024&amp;type=national&amp;d=6","Results")</f>
        <v/>
      </c>
    </row>
    <row r="136">
      <c r="A136" t="inlineStr">
        <is>
          <t>135</t>
        </is>
      </c>
      <c r="B136" t="inlineStr">
        <is>
          <t>John Woodrow</t>
        </is>
      </c>
      <c r="C136" t="inlineStr">
        <is>
          <t>Velobants.cc</t>
        </is>
      </c>
      <c r="D136" t="inlineStr">
        <is>
          <t>74</t>
        </is>
      </c>
      <c r="E136" s="2">
        <f>HYPERLINK("https://www.britishcycling.org.uk/points?person_id=136513&amp;year=2024&amp;type=national&amp;d=6","Results")</f>
        <v/>
      </c>
    </row>
    <row r="137">
      <c r="A137" t="inlineStr">
        <is>
          <t>136</t>
        </is>
      </c>
      <c r="B137" t="inlineStr">
        <is>
          <t>Carlo Mascia</t>
        </is>
      </c>
      <c r="C137" t="inlineStr">
        <is>
          <t>360VRT</t>
        </is>
      </c>
      <c r="D137" t="inlineStr">
        <is>
          <t>72</t>
        </is>
      </c>
      <c r="E137" s="2">
        <f>HYPERLINK("https://www.britishcycling.org.uk/points?person_id=588561&amp;year=2024&amp;type=national&amp;d=6","Results")</f>
        <v/>
      </c>
    </row>
    <row r="138">
      <c r="A138" t="inlineStr">
        <is>
          <t>137</t>
        </is>
      </c>
      <c r="B138" t="inlineStr">
        <is>
          <t>Phil Oliver</t>
        </is>
      </c>
      <c r="C138" t="inlineStr">
        <is>
          <t>CXR</t>
        </is>
      </c>
      <c r="D138" t="inlineStr">
        <is>
          <t>72</t>
        </is>
      </c>
      <c r="E138" s="2">
        <f>HYPERLINK("https://www.britishcycling.org.uk/points?person_id=773476&amp;year=2024&amp;type=national&amp;d=6","Results")</f>
        <v/>
      </c>
    </row>
    <row r="139">
      <c r="A139" t="inlineStr">
        <is>
          <t>138</t>
        </is>
      </c>
      <c r="B139" t="inlineStr">
        <is>
          <t>Paul Smith</t>
        </is>
      </c>
      <c r="C139" t="inlineStr"/>
      <c r="D139" t="inlineStr">
        <is>
          <t>71</t>
        </is>
      </c>
      <c r="E139" s="2">
        <f>HYPERLINK("https://www.britishcycling.org.uk/points?person_id=47940&amp;year=2024&amp;type=national&amp;d=6","Results")</f>
        <v/>
      </c>
    </row>
    <row r="140">
      <c r="A140" t="inlineStr">
        <is>
          <t>139</t>
        </is>
      </c>
      <c r="B140" t="inlineStr">
        <is>
          <t>Dan Street</t>
        </is>
      </c>
      <c r="C140" t="inlineStr">
        <is>
          <t>Lewes Wanderers CC</t>
        </is>
      </c>
      <c r="D140" t="inlineStr">
        <is>
          <t>70</t>
        </is>
      </c>
      <c r="E140" s="2">
        <f>HYPERLINK("https://www.britishcycling.org.uk/points?person_id=191492&amp;year=2024&amp;type=national&amp;d=6","Results")</f>
        <v/>
      </c>
    </row>
    <row r="141">
      <c r="A141" t="inlineStr">
        <is>
          <t>140</t>
        </is>
      </c>
      <c r="B141" t="inlineStr">
        <is>
          <t>Neil Bowman</t>
        </is>
      </c>
      <c r="C141" t="inlineStr">
        <is>
          <t>Ely &amp; District CC</t>
        </is>
      </c>
      <c r="D141" t="inlineStr">
        <is>
          <t>68</t>
        </is>
      </c>
      <c r="E141" s="2">
        <f>HYPERLINK("https://www.britishcycling.org.uk/points?person_id=488021&amp;year=2024&amp;type=national&amp;d=6","Results")</f>
        <v/>
      </c>
    </row>
    <row r="142">
      <c r="A142" t="inlineStr">
        <is>
          <t>141</t>
        </is>
      </c>
      <c r="B142" t="inlineStr">
        <is>
          <t>Christopher Green</t>
        </is>
      </c>
      <c r="C142" t="inlineStr">
        <is>
          <t>Matlock CC</t>
        </is>
      </c>
      <c r="D142" t="inlineStr">
        <is>
          <t>68</t>
        </is>
      </c>
      <c r="E142" s="2">
        <f>HYPERLINK("https://www.britishcycling.org.uk/points?person_id=41394&amp;year=2024&amp;type=national&amp;d=6","Results")</f>
        <v/>
      </c>
    </row>
    <row r="143">
      <c r="A143" t="inlineStr">
        <is>
          <t>142</t>
        </is>
      </c>
      <c r="B143" t="inlineStr">
        <is>
          <t>Phil Smith</t>
        </is>
      </c>
      <c r="C143" t="inlineStr">
        <is>
          <t>Lakes RC</t>
        </is>
      </c>
      <c r="D143" t="inlineStr">
        <is>
          <t>68</t>
        </is>
      </c>
      <c r="E143" s="2">
        <f>HYPERLINK("https://www.britishcycling.org.uk/points?person_id=22458&amp;year=2024&amp;type=national&amp;d=6","Results")</f>
        <v/>
      </c>
    </row>
    <row r="144">
      <c r="A144" t="inlineStr">
        <is>
          <t>143</t>
        </is>
      </c>
      <c r="B144" t="inlineStr">
        <is>
          <t>Rich Cutsforth</t>
        </is>
      </c>
      <c r="C144" t="inlineStr">
        <is>
          <t>Wilsons Wheels Race Team</t>
        </is>
      </c>
      <c r="D144" t="inlineStr">
        <is>
          <t>66</t>
        </is>
      </c>
      <c r="E144" s="2">
        <f>HYPERLINK("https://www.britishcycling.org.uk/points?person_id=134774&amp;year=2024&amp;type=national&amp;d=6","Results")</f>
        <v/>
      </c>
    </row>
    <row r="145">
      <c r="A145" t="inlineStr">
        <is>
          <t>144</t>
        </is>
      </c>
      <c r="B145" t="inlineStr">
        <is>
          <t>Pete Dawe</t>
        </is>
      </c>
      <c r="C145" t="inlineStr">
        <is>
          <t>Southfork Racing.co.uk</t>
        </is>
      </c>
      <c r="D145" t="inlineStr">
        <is>
          <t>66</t>
        </is>
      </c>
      <c r="E145" s="2">
        <f>HYPERLINK("https://www.britishcycling.org.uk/points?person_id=66442&amp;year=2024&amp;type=national&amp;d=6","Results")</f>
        <v/>
      </c>
    </row>
    <row r="146">
      <c r="A146" t="inlineStr">
        <is>
          <t>145</t>
        </is>
      </c>
      <c r="B146" t="inlineStr">
        <is>
          <t>Spencer Parker</t>
        </is>
      </c>
      <c r="C146" t="inlineStr">
        <is>
          <t>Halesowen A &amp; CC</t>
        </is>
      </c>
      <c r="D146" t="inlineStr">
        <is>
          <t>66</t>
        </is>
      </c>
      <c r="E146" s="2">
        <f>HYPERLINK("https://www.britishcycling.org.uk/points?person_id=579297&amp;year=2024&amp;type=national&amp;d=6","Results")</f>
        <v/>
      </c>
    </row>
    <row r="147">
      <c r="A147" t="inlineStr">
        <is>
          <t>146</t>
        </is>
      </c>
      <c r="B147" t="inlineStr">
        <is>
          <t>Matthew Waddams</t>
        </is>
      </c>
      <c r="C147" t="inlineStr"/>
      <c r="D147" t="inlineStr">
        <is>
          <t>65</t>
        </is>
      </c>
      <c r="E147" s="2">
        <f>HYPERLINK("https://www.britishcycling.org.uk/points?person_id=856351&amp;year=2024&amp;type=national&amp;d=6","Results")</f>
        <v/>
      </c>
    </row>
    <row r="148">
      <c r="A148" t="inlineStr">
        <is>
          <t>147</t>
        </is>
      </c>
      <c r="B148" t="inlineStr">
        <is>
          <t>Giles Barringham</t>
        </is>
      </c>
      <c r="C148" t="inlineStr">
        <is>
          <t>Rockingham Forest Whls</t>
        </is>
      </c>
      <c r="D148" t="inlineStr">
        <is>
          <t>64</t>
        </is>
      </c>
      <c r="E148" s="2">
        <f>HYPERLINK("https://www.britishcycling.org.uk/points?person_id=1026219&amp;year=2024&amp;type=national&amp;d=6","Results")</f>
        <v/>
      </c>
    </row>
    <row r="149">
      <c r="A149" t="inlineStr">
        <is>
          <t>148</t>
        </is>
      </c>
      <c r="B149" t="inlineStr">
        <is>
          <t>Russell Bevan</t>
        </is>
      </c>
      <c r="C149" t="inlineStr">
        <is>
          <t>MVSenders</t>
        </is>
      </c>
      <c r="D149" t="inlineStr">
        <is>
          <t>64</t>
        </is>
      </c>
      <c r="E149" s="2">
        <f>HYPERLINK("https://www.britishcycling.org.uk/points?person_id=942949&amp;year=2024&amp;type=national&amp;d=6","Results")</f>
        <v/>
      </c>
    </row>
    <row r="150">
      <c r="A150" t="inlineStr">
        <is>
          <t>149</t>
        </is>
      </c>
      <c r="B150" t="inlineStr">
        <is>
          <t>Roger Chamberlain</t>
        </is>
      </c>
      <c r="C150" t="inlineStr">
        <is>
          <t>VCEquipe-FlixOralHygiene-Propulse</t>
        </is>
      </c>
      <c r="D150" t="inlineStr">
        <is>
          <t>64</t>
        </is>
      </c>
      <c r="E150" s="2">
        <f>HYPERLINK("https://www.britishcycling.org.uk/points?person_id=58499&amp;year=2024&amp;type=national&amp;d=6","Results")</f>
        <v/>
      </c>
    </row>
    <row r="151">
      <c r="A151" t="inlineStr">
        <is>
          <t>150</t>
        </is>
      </c>
      <c r="B151" t="inlineStr">
        <is>
          <t>Steffan Chandler</t>
        </is>
      </c>
      <c r="C151" t="inlineStr">
        <is>
          <t>Horwich CC</t>
        </is>
      </c>
      <c r="D151" t="inlineStr">
        <is>
          <t>64</t>
        </is>
      </c>
      <c r="E151" s="2">
        <f>HYPERLINK("https://www.britishcycling.org.uk/points?person_id=54570&amp;year=2024&amp;type=national&amp;d=6","Results")</f>
        <v/>
      </c>
    </row>
    <row r="152">
      <c r="A152" t="inlineStr">
        <is>
          <t>151</t>
        </is>
      </c>
      <c r="B152" t="inlineStr">
        <is>
          <t>Adrian Dalgleish</t>
        </is>
      </c>
      <c r="C152" t="inlineStr">
        <is>
          <t>Lune Racing Cycling Club</t>
        </is>
      </c>
      <c r="D152" t="inlineStr">
        <is>
          <t>64</t>
        </is>
      </c>
      <c r="E152" s="2">
        <f>HYPERLINK("https://www.britishcycling.org.uk/points?person_id=6682&amp;year=2024&amp;type=national&amp;d=6","Results")</f>
        <v/>
      </c>
    </row>
    <row r="153">
      <c r="A153" t="inlineStr">
        <is>
          <t>152</t>
        </is>
      </c>
      <c r="B153" t="inlineStr">
        <is>
          <t>Steven Smales</t>
        </is>
      </c>
      <c r="C153" t="inlineStr">
        <is>
          <t>Bioracer UK RT</t>
        </is>
      </c>
      <c r="D153" t="inlineStr">
        <is>
          <t>64</t>
        </is>
      </c>
      <c r="E153" s="2">
        <f>HYPERLINK("https://www.britishcycling.org.uk/points?person_id=59398&amp;year=2024&amp;type=national&amp;d=6","Results")</f>
        <v/>
      </c>
    </row>
    <row r="154">
      <c r="A154" t="inlineStr">
        <is>
          <t>153</t>
        </is>
      </c>
      <c r="B154" t="inlineStr">
        <is>
          <t>James Heal</t>
        </is>
      </c>
      <c r="C154" t="inlineStr"/>
      <c r="D154" t="inlineStr">
        <is>
          <t>63</t>
        </is>
      </c>
      <c r="E154" s="2">
        <f>HYPERLINK("https://www.britishcycling.org.uk/points?person_id=127039&amp;year=2024&amp;type=national&amp;d=6","Results")</f>
        <v/>
      </c>
    </row>
    <row r="155">
      <c r="A155" t="inlineStr">
        <is>
          <t>154</t>
        </is>
      </c>
      <c r="B155" t="inlineStr">
        <is>
          <t>Mark Calvert</t>
        </is>
      </c>
      <c r="C155" t="inlineStr">
        <is>
          <t>CC Luton</t>
        </is>
      </c>
      <c r="D155" t="inlineStr">
        <is>
          <t>62</t>
        </is>
      </c>
      <c r="E155" s="2">
        <f>HYPERLINK("https://www.britishcycling.org.uk/points?person_id=296682&amp;year=2024&amp;type=national&amp;d=6","Results")</f>
        <v/>
      </c>
    </row>
    <row r="156">
      <c r="A156" t="inlineStr">
        <is>
          <t>155</t>
        </is>
      </c>
      <c r="B156" t="inlineStr">
        <is>
          <t>Joe Loader</t>
        </is>
      </c>
      <c r="C156" t="inlineStr">
        <is>
          <t>Reflex Nopinz</t>
        </is>
      </c>
      <c r="D156" t="inlineStr">
        <is>
          <t>62</t>
        </is>
      </c>
      <c r="E156" s="2">
        <f>HYPERLINK("https://www.britishcycling.org.uk/points?person_id=233678&amp;year=2024&amp;type=national&amp;d=6","Results")</f>
        <v/>
      </c>
    </row>
    <row r="157">
      <c r="A157" t="inlineStr">
        <is>
          <t>156</t>
        </is>
      </c>
      <c r="B157" t="inlineStr">
        <is>
          <t>Charles Gray</t>
        </is>
      </c>
      <c r="C157" t="inlineStr">
        <is>
          <t>Manchester Wheelers Club</t>
        </is>
      </c>
      <c r="D157" t="inlineStr">
        <is>
          <t>61</t>
        </is>
      </c>
      <c r="E157" s="2">
        <f>HYPERLINK("https://www.britishcycling.org.uk/points?person_id=42964&amp;year=2024&amp;type=national&amp;d=6","Results")</f>
        <v/>
      </c>
    </row>
    <row r="158">
      <c r="A158" t="inlineStr">
        <is>
          <t>157</t>
        </is>
      </c>
      <c r="B158" t="inlineStr">
        <is>
          <t>Kevin Larmer</t>
        </is>
      </c>
      <c r="C158" t="inlineStr">
        <is>
          <t>Port Sunlight Wheelers</t>
        </is>
      </c>
      <c r="D158" t="inlineStr">
        <is>
          <t>61</t>
        </is>
      </c>
      <c r="E158" s="2">
        <f>HYPERLINK("https://www.britishcycling.org.uk/points?person_id=102996&amp;year=2024&amp;type=national&amp;d=6","Results")</f>
        <v/>
      </c>
    </row>
    <row r="159">
      <c r="A159" t="inlineStr">
        <is>
          <t>158</t>
        </is>
      </c>
      <c r="B159" t="inlineStr">
        <is>
          <t>Tony Mills</t>
        </is>
      </c>
      <c r="C159" t="inlineStr">
        <is>
          <t>York Cycleworks</t>
        </is>
      </c>
      <c r="D159" t="inlineStr">
        <is>
          <t>61</t>
        </is>
      </c>
      <c r="E159" s="2">
        <f>HYPERLINK("https://www.britishcycling.org.uk/points?person_id=13767&amp;year=2024&amp;type=national&amp;d=6","Results")</f>
        <v/>
      </c>
    </row>
    <row r="160">
      <c r="A160" t="inlineStr">
        <is>
          <t>159</t>
        </is>
      </c>
      <c r="B160" t="inlineStr">
        <is>
          <t>Timothy Peters</t>
        </is>
      </c>
      <c r="C160" t="inlineStr">
        <is>
          <t>Horsham Cycling</t>
        </is>
      </c>
      <c r="D160" t="inlineStr">
        <is>
          <t>60</t>
        </is>
      </c>
      <c r="E160" s="2">
        <f>HYPERLINK("https://www.britishcycling.org.uk/points?person_id=644675&amp;year=2024&amp;type=national&amp;d=6","Results")</f>
        <v/>
      </c>
    </row>
    <row r="161">
      <c r="A161" t="inlineStr">
        <is>
          <t>160</t>
        </is>
      </c>
      <c r="B161" t="inlineStr">
        <is>
          <t>Jonathan Hall</t>
        </is>
      </c>
      <c r="C161" t="inlineStr">
        <is>
          <t>Sotonia CC</t>
        </is>
      </c>
      <c r="D161" t="inlineStr">
        <is>
          <t>59</t>
        </is>
      </c>
      <c r="E161" s="2">
        <f>HYPERLINK("https://www.britishcycling.org.uk/points?person_id=457136&amp;year=2024&amp;type=national&amp;d=6","Results")</f>
        <v/>
      </c>
    </row>
    <row r="162">
      <c r="A162" t="inlineStr">
        <is>
          <t>161</t>
        </is>
      </c>
      <c r="B162" t="inlineStr">
        <is>
          <t>Tristan Ellis</t>
        </is>
      </c>
      <c r="C162" t="inlineStr">
        <is>
          <t>1st Chard Whls</t>
        </is>
      </c>
      <c r="D162" t="inlineStr">
        <is>
          <t>58</t>
        </is>
      </c>
      <c r="E162" s="2">
        <f>HYPERLINK("https://www.britishcycling.org.uk/points?person_id=332310&amp;year=2024&amp;type=national&amp;d=6","Results")</f>
        <v/>
      </c>
    </row>
    <row r="163">
      <c r="A163" t="inlineStr">
        <is>
          <t>162</t>
        </is>
      </c>
      <c r="B163" t="inlineStr">
        <is>
          <t>Stuart Evans</t>
        </is>
      </c>
      <c r="C163" t="inlineStr">
        <is>
          <t>Destination Bike RT</t>
        </is>
      </c>
      <c r="D163" t="inlineStr">
        <is>
          <t>58</t>
        </is>
      </c>
      <c r="E163" s="2">
        <f>HYPERLINK("https://www.britishcycling.org.uk/points?person_id=455977&amp;year=2024&amp;type=national&amp;d=6","Results")</f>
        <v/>
      </c>
    </row>
    <row r="164">
      <c r="A164" t="inlineStr">
        <is>
          <t>163</t>
        </is>
      </c>
      <c r="B164" t="inlineStr">
        <is>
          <t>Shaun Campling</t>
        </is>
      </c>
      <c r="C164" t="inlineStr">
        <is>
          <t>Pedal Power Loughborough</t>
        </is>
      </c>
      <c r="D164" t="inlineStr">
        <is>
          <t>56</t>
        </is>
      </c>
      <c r="E164" s="2">
        <f>HYPERLINK("https://www.britishcycling.org.uk/points?person_id=479127&amp;year=2024&amp;type=national&amp;d=6","Results")</f>
        <v/>
      </c>
    </row>
    <row r="165">
      <c r="A165" t="inlineStr">
        <is>
          <t>164</t>
        </is>
      </c>
      <c r="B165" t="inlineStr">
        <is>
          <t>Mark Whittaker</t>
        </is>
      </c>
      <c r="C165" t="inlineStr">
        <is>
          <t>GS Invicta-ELO-Herberts Cycles</t>
        </is>
      </c>
      <c r="D165" t="inlineStr">
        <is>
          <t>56</t>
        </is>
      </c>
      <c r="E165" s="2">
        <f>HYPERLINK("https://www.britishcycling.org.uk/points?person_id=138761&amp;year=2024&amp;type=national&amp;d=6","Results")</f>
        <v/>
      </c>
    </row>
    <row r="166">
      <c r="A166" t="inlineStr">
        <is>
          <t>165</t>
        </is>
      </c>
      <c r="B166" t="inlineStr">
        <is>
          <t>Philip Connell</t>
        </is>
      </c>
      <c r="C166" t="inlineStr">
        <is>
          <t>Sotonia CC</t>
        </is>
      </c>
      <c r="D166" t="inlineStr">
        <is>
          <t>55</t>
        </is>
      </c>
      <c r="E166" s="2">
        <f>HYPERLINK("https://www.britishcycling.org.uk/points?person_id=121581&amp;year=2024&amp;type=national&amp;d=6","Results")</f>
        <v/>
      </c>
    </row>
    <row r="167">
      <c r="A167" t="inlineStr">
        <is>
          <t>166</t>
        </is>
      </c>
      <c r="B167" t="inlineStr">
        <is>
          <t>Michael Hall</t>
        </is>
      </c>
      <c r="C167" t="inlineStr">
        <is>
          <t>Port Talbot Wheelers</t>
        </is>
      </c>
      <c r="D167" t="inlineStr">
        <is>
          <t>55</t>
        </is>
      </c>
      <c r="E167" s="2">
        <f>HYPERLINK("https://www.britishcycling.org.uk/points?person_id=138130&amp;year=2024&amp;type=national&amp;d=6","Results")</f>
        <v/>
      </c>
    </row>
    <row r="168">
      <c r="A168" t="inlineStr">
        <is>
          <t>167</t>
        </is>
      </c>
      <c r="B168" t="inlineStr">
        <is>
          <t>Tyrone Miller</t>
        </is>
      </c>
      <c r="C168" t="inlineStr">
        <is>
          <t>Velo Club Venta</t>
        </is>
      </c>
      <c r="D168" t="inlineStr">
        <is>
          <t>54</t>
        </is>
      </c>
      <c r="E168" s="2">
        <f>HYPERLINK("https://www.britishcycling.org.uk/points?person_id=18051&amp;year=2024&amp;type=national&amp;d=6","Results")</f>
        <v/>
      </c>
    </row>
    <row r="169">
      <c r="A169" t="inlineStr">
        <is>
          <t>168</t>
        </is>
      </c>
      <c r="B169" t="inlineStr">
        <is>
          <t>Mike Mooney</t>
        </is>
      </c>
      <c r="C169" t="inlineStr"/>
      <c r="D169" t="inlineStr">
        <is>
          <t>54</t>
        </is>
      </c>
      <c r="E169" s="2">
        <f>HYPERLINK("https://www.britishcycling.org.uk/points?person_id=77406&amp;year=2024&amp;type=national&amp;d=6","Results")</f>
        <v/>
      </c>
    </row>
    <row r="170">
      <c r="A170" t="inlineStr">
        <is>
          <t>169</t>
        </is>
      </c>
      <c r="B170" t="inlineStr">
        <is>
          <t>Vince Potter</t>
        </is>
      </c>
      <c r="C170" t="inlineStr">
        <is>
          <t>Cleveland Wheelers CC</t>
        </is>
      </c>
      <c r="D170" t="inlineStr">
        <is>
          <t>54</t>
        </is>
      </c>
      <c r="E170" s="2">
        <f>HYPERLINK("https://www.britishcycling.org.uk/points?person_id=57948&amp;year=2024&amp;type=national&amp;d=6","Results")</f>
        <v/>
      </c>
    </row>
    <row r="171">
      <c r="A171" t="inlineStr">
        <is>
          <t>170</t>
        </is>
      </c>
      <c r="B171" t="inlineStr">
        <is>
          <t>Jonathon Tomlinson</t>
        </is>
      </c>
      <c r="C171" t="inlineStr">
        <is>
          <t>6AM Cycling</t>
        </is>
      </c>
      <c r="D171" t="inlineStr">
        <is>
          <t>54</t>
        </is>
      </c>
      <c r="E171" s="2">
        <f>HYPERLINK("https://www.britishcycling.org.uk/points?person_id=33356&amp;year=2024&amp;type=national&amp;d=6","Results")</f>
        <v/>
      </c>
    </row>
    <row r="172">
      <c r="A172" t="inlineStr">
        <is>
          <t>171</t>
        </is>
      </c>
      <c r="B172" t="inlineStr">
        <is>
          <t>Philip Wilkinson</t>
        </is>
      </c>
      <c r="C172" t="inlineStr">
        <is>
          <t>Rockingham Forest Whls</t>
        </is>
      </c>
      <c r="D172" t="inlineStr">
        <is>
          <t>54</t>
        </is>
      </c>
      <c r="E172" s="2">
        <f>HYPERLINK("https://www.britishcycling.org.uk/points?person_id=46642&amp;year=2024&amp;type=national&amp;d=6","Results")</f>
        <v/>
      </c>
    </row>
    <row r="173">
      <c r="A173" t="inlineStr">
        <is>
          <t>172</t>
        </is>
      </c>
      <c r="B173" t="inlineStr">
        <is>
          <t>Wayne Crombie</t>
        </is>
      </c>
      <c r="C173" t="inlineStr">
        <is>
          <t>East London Velo</t>
        </is>
      </c>
      <c r="D173" t="inlineStr">
        <is>
          <t>53</t>
        </is>
      </c>
      <c r="E173" s="2">
        <f>HYPERLINK("https://www.britishcycling.org.uk/points?person_id=46847&amp;year=2024&amp;type=national&amp;d=6","Results")</f>
        <v/>
      </c>
    </row>
    <row r="174">
      <c r="A174" t="inlineStr">
        <is>
          <t>173</t>
        </is>
      </c>
      <c r="B174" t="inlineStr">
        <is>
          <t>Victor Allan</t>
        </is>
      </c>
      <c r="C174" t="inlineStr">
        <is>
          <t>Deeside Thistle CC</t>
        </is>
      </c>
      <c r="D174" t="inlineStr">
        <is>
          <t>52</t>
        </is>
      </c>
      <c r="E174" s="2">
        <f>HYPERLINK("https://www.britishcycling.org.uk/points?person_id=299937&amp;year=2024&amp;type=national&amp;d=6","Results")</f>
        <v/>
      </c>
    </row>
    <row r="175">
      <c r="A175" t="inlineStr">
        <is>
          <t>174</t>
        </is>
      </c>
      <c r="B175" t="inlineStr">
        <is>
          <t>Neil Hall</t>
        </is>
      </c>
      <c r="C175" t="inlineStr"/>
      <c r="D175" t="inlineStr">
        <is>
          <t>52</t>
        </is>
      </c>
      <c r="E175" s="2">
        <f>HYPERLINK("https://www.britishcycling.org.uk/points?person_id=958246&amp;year=2024&amp;type=national&amp;d=6","Results")</f>
        <v/>
      </c>
    </row>
    <row r="176">
      <c r="A176" t="inlineStr">
        <is>
          <t>175</t>
        </is>
      </c>
      <c r="B176" t="inlineStr">
        <is>
          <t>Ian Newby</t>
        </is>
      </c>
      <c r="C176" t="inlineStr">
        <is>
          <t>Diss &amp; District CC</t>
        </is>
      </c>
      <c r="D176" t="inlineStr">
        <is>
          <t>52</t>
        </is>
      </c>
      <c r="E176" s="2">
        <f>HYPERLINK("https://www.britishcycling.org.uk/points?person_id=71288&amp;year=2024&amp;type=national&amp;d=6","Results")</f>
        <v/>
      </c>
    </row>
    <row r="177">
      <c r="A177" t="inlineStr">
        <is>
          <t>176</t>
        </is>
      </c>
      <c r="B177" t="inlineStr">
        <is>
          <t>Darryl Thomas</t>
        </is>
      </c>
      <c r="C177" t="inlineStr">
        <is>
          <t>Dynamic Rides CC</t>
        </is>
      </c>
      <c r="D177" t="inlineStr">
        <is>
          <t>52</t>
        </is>
      </c>
      <c r="E177" s="2">
        <f>HYPERLINK("https://www.britishcycling.org.uk/points?person_id=840532&amp;year=2024&amp;type=national&amp;d=6","Results")</f>
        <v/>
      </c>
    </row>
    <row r="178">
      <c r="A178" t="inlineStr">
        <is>
          <t>177</t>
        </is>
      </c>
      <c r="B178" t="inlineStr">
        <is>
          <t>Dylan Bexley</t>
        </is>
      </c>
      <c r="C178" t="inlineStr">
        <is>
          <t>Dulwich Paragon CC</t>
        </is>
      </c>
      <c r="D178" t="inlineStr">
        <is>
          <t>51</t>
        </is>
      </c>
      <c r="E178" s="2">
        <f>HYPERLINK("https://www.britishcycling.org.uk/points?person_id=452837&amp;year=2024&amp;type=national&amp;d=6","Results")</f>
        <v/>
      </c>
    </row>
    <row r="179">
      <c r="A179" t="inlineStr">
        <is>
          <t>178</t>
        </is>
      </c>
      <c r="B179" t="inlineStr">
        <is>
          <t>Stuart Nisbett</t>
        </is>
      </c>
      <c r="C179" t="inlineStr">
        <is>
          <t>Destination Bike RT</t>
        </is>
      </c>
      <c r="D179" t="inlineStr">
        <is>
          <t>51</t>
        </is>
      </c>
      <c r="E179" s="2">
        <f>HYPERLINK("https://www.britishcycling.org.uk/points?person_id=55337&amp;year=2024&amp;type=national&amp;d=6","Results")</f>
        <v/>
      </c>
    </row>
    <row r="180">
      <c r="A180" t="inlineStr">
        <is>
          <t>179</t>
        </is>
      </c>
      <c r="B180" t="inlineStr">
        <is>
          <t>Darren Armstrong</t>
        </is>
      </c>
      <c r="C180" t="inlineStr">
        <is>
          <t>North Devon Velo</t>
        </is>
      </c>
      <c r="D180" t="inlineStr">
        <is>
          <t>50</t>
        </is>
      </c>
      <c r="E180" s="2">
        <f>HYPERLINK("https://www.britishcycling.org.uk/points?person_id=226574&amp;year=2024&amp;type=national&amp;d=6","Results")</f>
        <v/>
      </c>
    </row>
    <row r="181">
      <c r="A181" t="inlineStr">
        <is>
          <t>180</t>
        </is>
      </c>
      <c r="B181" t="inlineStr">
        <is>
          <t>Jonathan Challen</t>
        </is>
      </c>
      <c r="C181" t="inlineStr">
        <is>
          <t>VC VELDRIJDEN</t>
        </is>
      </c>
      <c r="D181" t="inlineStr">
        <is>
          <t>50</t>
        </is>
      </c>
      <c r="E181" s="2">
        <f>HYPERLINK("https://www.britishcycling.org.uk/points?person_id=1024712&amp;year=2024&amp;type=national&amp;d=6","Results")</f>
        <v/>
      </c>
    </row>
    <row r="182">
      <c r="A182" t="inlineStr">
        <is>
          <t>181</t>
        </is>
      </c>
      <c r="B182" t="inlineStr">
        <is>
          <t>Adam Frewin</t>
        </is>
      </c>
      <c r="C182" t="inlineStr">
        <is>
          <t>Pedalon.co.uk</t>
        </is>
      </c>
      <c r="D182" t="inlineStr">
        <is>
          <t>50</t>
        </is>
      </c>
      <c r="E182" s="2">
        <f>HYPERLINK("https://www.britishcycling.org.uk/points?person_id=387369&amp;year=2024&amp;type=national&amp;d=6","Results")</f>
        <v/>
      </c>
    </row>
    <row r="183">
      <c r="A183" t="inlineStr">
        <is>
          <t>182</t>
        </is>
      </c>
      <c r="B183" t="inlineStr">
        <is>
          <t>Wayne Jones</t>
        </is>
      </c>
      <c r="C183" t="inlineStr">
        <is>
          <t>ROTOR Race Team</t>
        </is>
      </c>
      <c r="D183" t="inlineStr">
        <is>
          <t>50</t>
        </is>
      </c>
      <c r="E183" s="2">
        <f>HYPERLINK("https://www.britishcycling.org.uk/points?person_id=49822&amp;year=2024&amp;type=national&amp;d=6","Results")</f>
        <v/>
      </c>
    </row>
    <row r="184">
      <c r="A184" t="inlineStr">
        <is>
          <t>183</t>
        </is>
      </c>
      <c r="B184" t="inlineStr">
        <is>
          <t>Ian Jones</t>
        </is>
      </c>
      <c r="C184" t="inlineStr">
        <is>
          <t>Stourbridge CC</t>
        </is>
      </c>
      <c r="D184" t="inlineStr">
        <is>
          <t>49</t>
        </is>
      </c>
      <c r="E184" s="2">
        <f>HYPERLINK("https://www.britishcycling.org.uk/points?person_id=284815&amp;year=2024&amp;type=national&amp;d=6","Results")</f>
        <v/>
      </c>
    </row>
    <row r="185">
      <c r="A185" t="inlineStr">
        <is>
          <t>184</t>
        </is>
      </c>
      <c r="B185" t="inlineStr">
        <is>
          <t>Neil Mansfield</t>
        </is>
      </c>
      <c r="C185" t="inlineStr">
        <is>
          <t>Grity Race Team</t>
        </is>
      </c>
      <c r="D185" t="inlineStr">
        <is>
          <t>49</t>
        </is>
      </c>
      <c r="E185" s="2">
        <f>HYPERLINK("https://www.britishcycling.org.uk/points?person_id=69484&amp;year=2024&amp;type=national&amp;d=6","Results")</f>
        <v/>
      </c>
    </row>
    <row r="186">
      <c r="A186" t="inlineStr">
        <is>
          <t>185</t>
        </is>
      </c>
      <c r="B186" t="inlineStr">
        <is>
          <t>Michael Murray</t>
        </is>
      </c>
      <c r="C186" t="inlineStr">
        <is>
          <t>Abergavenny Road Club</t>
        </is>
      </c>
      <c r="D186" t="inlineStr">
        <is>
          <t>49</t>
        </is>
      </c>
      <c r="E186" s="2">
        <f>HYPERLINK("https://www.britishcycling.org.uk/points?person_id=50404&amp;year=2024&amp;type=national&amp;d=6","Results")</f>
        <v/>
      </c>
    </row>
    <row r="187">
      <c r="A187" t="inlineStr">
        <is>
          <t>186</t>
        </is>
      </c>
      <c r="B187" t="inlineStr">
        <is>
          <t>Paul Neville</t>
        </is>
      </c>
      <c r="C187" t="inlineStr">
        <is>
          <t>C and N Cycles RT</t>
        </is>
      </c>
      <c r="D187" t="inlineStr">
        <is>
          <t>49</t>
        </is>
      </c>
      <c r="E187" s="2">
        <f>HYPERLINK("https://www.britishcycling.org.uk/points?person_id=122455&amp;year=2024&amp;type=national&amp;d=6","Results")</f>
        <v/>
      </c>
    </row>
    <row r="188">
      <c r="A188" t="inlineStr">
        <is>
          <t>187</t>
        </is>
      </c>
      <c r="B188" t="inlineStr">
        <is>
          <t>Michael Ward</t>
        </is>
      </c>
      <c r="C188" t="inlineStr">
        <is>
          <t>Lincoln Wheelers CC</t>
        </is>
      </c>
      <c r="D188" t="inlineStr">
        <is>
          <t>49</t>
        </is>
      </c>
      <c r="E188" s="2">
        <f>HYPERLINK("https://www.britishcycling.org.uk/points?person_id=1030752&amp;year=2024&amp;type=national&amp;d=6","Results")</f>
        <v/>
      </c>
    </row>
    <row r="189">
      <c r="A189" t="inlineStr">
        <is>
          <t>188</t>
        </is>
      </c>
      <c r="B189" t="inlineStr">
        <is>
          <t>Paul Wright</t>
        </is>
      </c>
      <c r="C189" t="inlineStr">
        <is>
          <t>Velo Club Baracchi</t>
        </is>
      </c>
      <c r="D189" t="inlineStr">
        <is>
          <t>49</t>
        </is>
      </c>
      <c r="E189" s="2">
        <f>HYPERLINK("https://www.britishcycling.org.uk/points?person_id=453086&amp;year=2024&amp;type=national&amp;d=6","Results")</f>
        <v/>
      </c>
    </row>
    <row r="190">
      <c r="A190" t="inlineStr">
        <is>
          <t>189</t>
        </is>
      </c>
      <c r="B190" t="inlineStr">
        <is>
          <t>Ian Knights</t>
        </is>
      </c>
      <c r="C190" t="inlineStr">
        <is>
          <t>Team VC</t>
        </is>
      </c>
      <c r="D190" t="inlineStr">
        <is>
          <t>48</t>
        </is>
      </c>
      <c r="E190" s="2">
        <f>HYPERLINK("https://www.britishcycling.org.uk/points?person_id=40208&amp;year=2024&amp;type=national&amp;d=6","Results")</f>
        <v/>
      </c>
    </row>
    <row r="191">
      <c r="A191" t="inlineStr">
        <is>
          <t>190</t>
        </is>
      </c>
      <c r="B191" t="inlineStr">
        <is>
          <t>Chris Spencer</t>
        </is>
      </c>
      <c r="C191" t="inlineStr">
        <is>
          <t>Bioracer UK RT</t>
        </is>
      </c>
      <c r="D191" t="inlineStr">
        <is>
          <t>48</t>
        </is>
      </c>
      <c r="E191" s="2">
        <f>HYPERLINK("https://www.britishcycling.org.uk/points?person_id=28513&amp;year=2024&amp;type=national&amp;d=6","Results")</f>
        <v/>
      </c>
    </row>
    <row r="192">
      <c r="A192" t="inlineStr">
        <is>
          <t>191</t>
        </is>
      </c>
      <c r="B192" t="inlineStr">
        <is>
          <t>John Wilkinson</t>
        </is>
      </c>
      <c r="C192" t="inlineStr">
        <is>
          <t>Moonglu CC</t>
        </is>
      </c>
      <c r="D192" t="inlineStr">
        <is>
          <t>48</t>
        </is>
      </c>
      <c r="E192" s="2">
        <f>HYPERLINK("https://www.britishcycling.org.uk/points?person_id=29048&amp;year=2024&amp;type=national&amp;d=6","Results")</f>
        <v/>
      </c>
    </row>
    <row r="193">
      <c r="A193" t="inlineStr">
        <is>
          <t>192</t>
        </is>
      </c>
      <c r="B193" t="inlineStr">
        <is>
          <t>Duncan Edwards</t>
        </is>
      </c>
      <c r="C193" t="inlineStr">
        <is>
          <t>Braishfield CC</t>
        </is>
      </c>
      <c r="D193" t="inlineStr">
        <is>
          <t>47</t>
        </is>
      </c>
      <c r="E193" s="2">
        <f>HYPERLINK("https://www.britishcycling.org.uk/points?person_id=1133948&amp;year=2024&amp;type=national&amp;d=6","Results")</f>
        <v/>
      </c>
    </row>
    <row r="194">
      <c r="A194" t="inlineStr">
        <is>
          <t>193</t>
        </is>
      </c>
      <c r="B194" t="inlineStr">
        <is>
          <t>Simon Christie</t>
        </is>
      </c>
      <c r="C194" t="inlineStr">
        <is>
          <t>West Suffolk Wheelers</t>
        </is>
      </c>
      <c r="D194" t="inlineStr">
        <is>
          <t>46</t>
        </is>
      </c>
      <c r="E194" s="2">
        <f>HYPERLINK("https://www.britishcycling.org.uk/points?person_id=968979&amp;year=2024&amp;type=national&amp;d=6","Results")</f>
        <v/>
      </c>
    </row>
    <row r="195">
      <c r="A195" t="inlineStr">
        <is>
          <t>194</t>
        </is>
      </c>
      <c r="B195" t="inlineStr">
        <is>
          <t>Jim Davies</t>
        </is>
      </c>
      <c r="C195" t="inlineStr">
        <is>
          <t>Kendal Cycle Club</t>
        </is>
      </c>
      <c r="D195" t="inlineStr">
        <is>
          <t>46</t>
        </is>
      </c>
      <c r="E195" s="2">
        <f>HYPERLINK("https://www.britishcycling.org.uk/points?person_id=735728&amp;year=2024&amp;type=national&amp;d=6","Results")</f>
        <v/>
      </c>
    </row>
    <row r="196">
      <c r="A196" t="inlineStr">
        <is>
          <t>195</t>
        </is>
      </c>
      <c r="B196" t="inlineStr">
        <is>
          <t>Brian Kiernan</t>
        </is>
      </c>
      <c r="C196" t="inlineStr">
        <is>
          <t>Cardiff Ajax CC</t>
        </is>
      </c>
      <c r="D196" t="inlineStr">
        <is>
          <t>46</t>
        </is>
      </c>
      <c r="E196" s="2">
        <f>HYPERLINK("https://www.britishcycling.org.uk/points?person_id=381251&amp;year=2024&amp;type=national&amp;d=6","Results")</f>
        <v/>
      </c>
    </row>
    <row r="197">
      <c r="A197" t="inlineStr">
        <is>
          <t>196</t>
        </is>
      </c>
      <c r="B197" t="inlineStr">
        <is>
          <t>Damain Pittock</t>
        </is>
      </c>
      <c r="C197" t="inlineStr">
        <is>
          <t>C and N Cycles RT</t>
        </is>
      </c>
      <c r="D197" t="inlineStr">
        <is>
          <t>46</t>
        </is>
      </c>
      <c r="E197" s="2">
        <f>HYPERLINK("https://www.britishcycling.org.uk/points?person_id=419781&amp;year=2024&amp;type=national&amp;d=6","Results")</f>
        <v/>
      </c>
    </row>
    <row r="198">
      <c r="A198" t="inlineStr">
        <is>
          <t>197</t>
        </is>
      </c>
      <c r="B198" t="inlineStr">
        <is>
          <t>Matthew Hardcastle</t>
        </is>
      </c>
      <c r="C198" t="inlineStr">
        <is>
          <t>6AM Cycling</t>
        </is>
      </c>
      <c r="D198" t="inlineStr">
        <is>
          <t>45</t>
        </is>
      </c>
      <c r="E198" s="2">
        <f>HYPERLINK("https://www.britishcycling.org.uk/points?person_id=380040&amp;year=2024&amp;type=national&amp;d=6","Results")</f>
        <v/>
      </c>
    </row>
    <row r="199">
      <c r="A199" t="inlineStr">
        <is>
          <t>198</t>
        </is>
      </c>
      <c r="B199" t="inlineStr">
        <is>
          <t>Paul Mace</t>
        </is>
      </c>
      <c r="C199" t="inlineStr"/>
      <c r="D199" t="inlineStr">
        <is>
          <t>45</t>
        </is>
      </c>
      <c r="E199" s="2">
        <f>HYPERLINK("https://www.britishcycling.org.uk/points?person_id=29535&amp;year=2024&amp;type=national&amp;d=6","Results")</f>
        <v/>
      </c>
    </row>
    <row r="200">
      <c r="A200" t="inlineStr">
        <is>
          <t>199</t>
        </is>
      </c>
      <c r="B200" t="inlineStr">
        <is>
          <t>David Oxberry</t>
        </is>
      </c>
      <c r="C200" t="inlineStr"/>
      <c r="D200" t="inlineStr">
        <is>
          <t>44</t>
        </is>
      </c>
      <c r="E200" s="2">
        <f>HYPERLINK("https://www.britishcycling.org.uk/points?person_id=325322&amp;year=2024&amp;type=national&amp;d=6","Results")</f>
        <v/>
      </c>
    </row>
    <row r="201">
      <c r="A201" t="inlineStr">
        <is>
          <t>200</t>
        </is>
      </c>
      <c r="B201" t="inlineStr">
        <is>
          <t>Stuart Gillies</t>
        </is>
      </c>
      <c r="C201" t="inlineStr">
        <is>
          <t>Twickenham CC</t>
        </is>
      </c>
      <c r="D201" t="inlineStr">
        <is>
          <t>43</t>
        </is>
      </c>
      <c r="E201" s="2">
        <f>HYPERLINK("https://www.britishcycling.org.uk/points?person_id=341676&amp;year=2024&amp;type=national&amp;d=6","Results")</f>
        <v/>
      </c>
    </row>
    <row r="202">
      <c r="A202" t="inlineStr">
        <is>
          <t>201</t>
        </is>
      </c>
      <c r="B202" t="inlineStr">
        <is>
          <t>Chris Montagu</t>
        </is>
      </c>
      <c r="C202" t="inlineStr">
        <is>
          <t>Kingston Wheelers CC</t>
        </is>
      </c>
      <c r="D202" t="inlineStr">
        <is>
          <t>42</t>
        </is>
      </c>
      <c r="E202" s="2">
        <f>HYPERLINK("https://www.britishcycling.org.uk/points?person_id=391212&amp;year=2024&amp;type=national&amp;d=6","Results")</f>
        <v/>
      </c>
    </row>
    <row r="203">
      <c r="A203" t="inlineStr">
        <is>
          <t>202</t>
        </is>
      </c>
      <c r="B203" t="inlineStr">
        <is>
          <t>Steven Pope</t>
        </is>
      </c>
      <c r="C203" t="inlineStr">
        <is>
          <t>San Fairy Ann CC</t>
        </is>
      </c>
      <c r="D203" t="inlineStr">
        <is>
          <t>42</t>
        </is>
      </c>
      <c r="E203" s="2">
        <f>HYPERLINK("https://www.britishcycling.org.uk/points?person_id=567969&amp;year=2024&amp;type=national&amp;d=6","Results")</f>
        <v/>
      </c>
    </row>
    <row r="204">
      <c r="A204" t="inlineStr">
        <is>
          <t>203</t>
        </is>
      </c>
      <c r="B204" t="inlineStr">
        <is>
          <t>Nick Pashley</t>
        </is>
      </c>
      <c r="C204" t="inlineStr">
        <is>
          <t>Bristol CX</t>
        </is>
      </c>
      <c r="D204" t="inlineStr">
        <is>
          <t>40</t>
        </is>
      </c>
      <c r="E204" s="2">
        <f>HYPERLINK("https://www.britishcycling.org.uk/points?person_id=667108&amp;year=2024&amp;type=national&amp;d=6","Results")</f>
        <v/>
      </c>
    </row>
    <row r="205">
      <c r="A205" t="inlineStr">
        <is>
          <t>204</t>
        </is>
      </c>
      <c r="B205" t="inlineStr">
        <is>
          <t>Andy Porter</t>
        </is>
      </c>
      <c r="C205" t="inlineStr">
        <is>
          <t>Horwich CC</t>
        </is>
      </c>
      <c r="D205" t="inlineStr">
        <is>
          <t>40</t>
        </is>
      </c>
      <c r="E205" s="2">
        <f>HYPERLINK("https://www.britishcycling.org.uk/points?person_id=292344&amp;year=2024&amp;type=national&amp;d=6","Results")</f>
        <v/>
      </c>
    </row>
    <row r="206">
      <c r="A206" t="inlineStr">
        <is>
          <t>205</t>
        </is>
      </c>
      <c r="B206" t="inlineStr">
        <is>
          <t>Darren Rutterford</t>
        </is>
      </c>
      <c r="C206" t="inlineStr">
        <is>
          <t>Aylsham Road Club</t>
        </is>
      </c>
      <c r="D206" t="inlineStr">
        <is>
          <t>40</t>
        </is>
      </c>
      <c r="E206" s="2">
        <f>HYPERLINK("https://www.britishcycling.org.uk/points?person_id=67024&amp;year=2024&amp;type=national&amp;d=6","Results")</f>
        <v/>
      </c>
    </row>
    <row r="207">
      <c r="A207" t="inlineStr">
        <is>
          <t>206</t>
        </is>
      </c>
      <c r="B207" t="inlineStr">
        <is>
          <t>Christopher Cooknell</t>
        </is>
      </c>
      <c r="C207" t="inlineStr">
        <is>
          <t>Cheddar Cycle Club</t>
        </is>
      </c>
      <c r="D207" t="inlineStr">
        <is>
          <t>39</t>
        </is>
      </c>
      <c r="E207" s="2">
        <f>HYPERLINK("https://www.britishcycling.org.uk/points?person_id=197946&amp;year=2024&amp;type=national&amp;d=6","Results")</f>
        <v/>
      </c>
    </row>
    <row r="208">
      <c r="A208" t="inlineStr">
        <is>
          <t>207</t>
        </is>
      </c>
      <c r="B208" t="inlineStr">
        <is>
          <t>James Cragg</t>
        </is>
      </c>
      <c r="C208" t="inlineStr">
        <is>
          <t>Warwick Lanterne Rouge C.C</t>
        </is>
      </c>
      <c r="D208" t="inlineStr">
        <is>
          <t>38</t>
        </is>
      </c>
      <c r="E208" s="2">
        <f>HYPERLINK("https://www.britishcycling.org.uk/points?person_id=693362&amp;year=2024&amp;type=national&amp;d=6","Results")</f>
        <v/>
      </c>
    </row>
    <row r="209">
      <c r="A209" t="inlineStr">
        <is>
          <t>208</t>
        </is>
      </c>
      <c r="B209" t="inlineStr">
        <is>
          <t>Alex Elferink</t>
        </is>
      </c>
      <c r="C209" t="inlineStr">
        <is>
          <t>East London Velo</t>
        </is>
      </c>
      <c r="D209" t="inlineStr">
        <is>
          <t>38</t>
        </is>
      </c>
      <c r="E209" s="2">
        <f>HYPERLINK("https://www.britishcycling.org.uk/points?person_id=284287&amp;year=2024&amp;type=national&amp;d=6","Results")</f>
        <v/>
      </c>
    </row>
    <row r="210">
      <c r="A210" t="inlineStr">
        <is>
          <t>209</t>
        </is>
      </c>
      <c r="B210" t="inlineStr">
        <is>
          <t>Tony Donaldson</t>
        </is>
      </c>
      <c r="C210" t="inlineStr">
        <is>
          <t>Ilkeston Cycle Club</t>
        </is>
      </c>
      <c r="D210" t="inlineStr">
        <is>
          <t>37</t>
        </is>
      </c>
      <c r="E210" s="2">
        <f>HYPERLINK("https://www.britishcycling.org.uk/points?person_id=395318&amp;year=2024&amp;type=national&amp;d=6","Results")</f>
        <v/>
      </c>
    </row>
    <row r="211">
      <c r="A211" t="inlineStr">
        <is>
          <t>210</t>
        </is>
      </c>
      <c r="B211" t="inlineStr">
        <is>
          <t>Keith Law</t>
        </is>
      </c>
      <c r="C211" t="inlineStr">
        <is>
          <t>Lakes RC</t>
        </is>
      </c>
      <c r="D211" t="inlineStr">
        <is>
          <t>37</t>
        </is>
      </c>
      <c r="E211" s="2">
        <f>HYPERLINK("https://www.britishcycling.org.uk/points?person_id=456234&amp;year=2024&amp;type=national&amp;d=6","Results")</f>
        <v/>
      </c>
    </row>
    <row r="212">
      <c r="A212" t="inlineStr">
        <is>
          <t>211</t>
        </is>
      </c>
      <c r="B212" t="inlineStr">
        <is>
          <t>Christian Roberts</t>
        </is>
      </c>
      <c r="C212" t="inlineStr">
        <is>
          <t>Allen Valley Velo</t>
        </is>
      </c>
      <c r="D212" t="inlineStr">
        <is>
          <t>37</t>
        </is>
      </c>
      <c r="E212" s="2">
        <f>HYPERLINK("https://www.britishcycling.org.uk/points?person_id=244316&amp;year=2024&amp;type=national&amp;d=6","Results")</f>
        <v/>
      </c>
    </row>
    <row r="213">
      <c r="A213" t="inlineStr">
        <is>
          <t>212</t>
        </is>
      </c>
      <c r="B213" t="inlineStr">
        <is>
          <t>Martyn Wisken</t>
        </is>
      </c>
      <c r="C213" t="inlineStr">
        <is>
          <t>Hemel Hempstead CC</t>
        </is>
      </c>
      <c r="D213" t="inlineStr">
        <is>
          <t>37</t>
        </is>
      </c>
      <c r="E213" s="2">
        <f>HYPERLINK("https://www.britishcycling.org.uk/points?person_id=430755&amp;year=2024&amp;type=national&amp;d=6","Results")</f>
        <v/>
      </c>
    </row>
    <row r="214">
      <c r="A214" t="inlineStr">
        <is>
          <t>213</t>
        </is>
      </c>
      <c r="B214" t="inlineStr">
        <is>
          <t>Matt Ingram</t>
        </is>
      </c>
      <c r="C214" t="inlineStr">
        <is>
          <t>www.Zepnat.com RT - Lazer Helmets</t>
        </is>
      </c>
      <c r="D214" t="inlineStr">
        <is>
          <t>36</t>
        </is>
      </c>
      <c r="E214" s="2">
        <f>HYPERLINK("https://www.britishcycling.org.uk/points?person_id=270101&amp;year=2024&amp;type=national&amp;d=6","Results")</f>
        <v/>
      </c>
    </row>
    <row r="215">
      <c r="A215" t="inlineStr">
        <is>
          <t>214</t>
        </is>
      </c>
      <c r="B215" t="inlineStr">
        <is>
          <t>Tim Kershaw</t>
        </is>
      </c>
      <c r="C215" t="inlineStr">
        <is>
          <t>Auchencrow Thistle</t>
        </is>
      </c>
      <c r="D215" t="inlineStr">
        <is>
          <t>36</t>
        </is>
      </c>
      <c r="E215" s="2">
        <f>HYPERLINK("https://www.britishcycling.org.uk/points?person_id=117610&amp;year=2024&amp;type=national&amp;d=6","Results")</f>
        <v/>
      </c>
    </row>
    <row r="216">
      <c r="A216" t="inlineStr">
        <is>
          <t>215</t>
        </is>
      </c>
      <c r="B216" t="inlineStr">
        <is>
          <t>Neil McAra</t>
        </is>
      </c>
      <c r="C216" t="inlineStr">
        <is>
          <t>Banbury Star CC</t>
        </is>
      </c>
      <c r="D216" t="inlineStr">
        <is>
          <t>36</t>
        </is>
      </c>
      <c r="E216" s="2">
        <f>HYPERLINK("https://www.britishcycling.org.uk/points?person_id=1017975&amp;year=2024&amp;type=national&amp;d=6","Results")</f>
        <v/>
      </c>
    </row>
    <row r="217">
      <c r="A217" t="inlineStr">
        <is>
          <t>216</t>
        </is>
      </c>
      <c r="B217" t="inlineStr">
        <is>
          <t>Graham Wright</t>
        </is>
      </c>
      <c r="C217" t="inlineStr">
        <is>
          <t>Rockingham Forest Whls</t>
        </is>
      </c>
      <c r="D217" t="inlineStr">
        <is>
          <t>36</t>
        </is>
      </c>
      <c r="E217" s="2">
        <f>HYPERLINK("https://www.britishcycling.org.uk/points?person_id=135894&amp;year=2024&amp;type=national&amp;d=6","Results")</f>
        <v/>
      </c>
    </row>
    <row r="218">
      <c r="A218" t="inlineStr">
        <is>
          <t>217</t>
        </is>
      </c>
      <c r="B218" t="inlineStr">
        <is>
          <t>Matthew Camps</t>
        </is>
      </c>
      <c r="C218" t="inlineStr">
        <is>
          <t>Bridport CC</t>
        </is>
      </c>
      <c r="D218" t="inlineStr">
        <is>
          <t>35</t>
        </is>
      </c>
      <c r="E218" s="2">
        <f>HYPERLINK("https://www.britishcycling.org.uk/points?person_id=556234&amp;year=2024&amp;type=national&amp;d=6","Results")</f>
        <v/>
      </c>
    </row>
    <row r="219">
      <c r="A219" t="inlineStr">
        <is>
          <t>218</t>
        </is>
      </c>
      <c r="B219" t="inlineStr">
        <is>
          <t>Paul Anderson</t>
        </is>
      </c>
      <c r="C219" t="inlineStr">
        <is>
          <t>Spokes Racing Team</t>
        </is>
      </c>
      <c r="D219" t="inlineStr">
        <is>
          <t>34</t>
        </is>
      </c>
      <c r="E219" s="2">
        <f>HYPERLINK("https://www.britishcycling.org.uk/points?person_id=59345&amp;year=2024&amp;type=national&amp;d=6","Results")</f>
        <v/>
      </c>
    </row>
    <row r="220">
      <c r="A220" t="inlineStr">
        <is>
          <t>219</t>
        </is>
      </c>
      <c r="B220" t="inlineStr">
        <is>
          <t>Jason Williams</t>
        </is>
      </c>
      <c r="C220" t="inlineStr">
        <is>
          <t>Welland Valley CC</t>
        </is>
      </c>
      <c r="D220" t="inlineStr">
        <is>
          <t>34</t>
        </is>
      </c>
      <c r="E220" s="2">
        <f>HYPERLINK("https://www.britishcycling.org.uk/points?person_id=1130611&amp;year=2024&amp;type=national&amp;d=6","Results")</f>
        <v/>
      </c>
    </row>
    <row r="221">
      <c r="A221" t="inlineStr">
        <is>
          <t>220</t>
        </is>
      </c>
      <c r="B221" t="inlineStr">
        <is>
          <t>Scott Heyhoe</t>
        </is>
      </c>
      <c r="C221" t="inlineStr">
        <is>
          <t>Handsling Racing</t>
        </is>
      </c>
      <c r="D221" t="inlineStr">
        <is>
          <t>33</t>
        </is>
      </c>
      <c r="E221" s="2">
        <f>HYPERLINK("https://www.britishcycling.org.uk/points?person_id=199561&amp;year=2024&amp;type=national&amp;d=6","Results")</f>
        <v/>
      </c>
    </row>
    <row r="222">
      <c r="A222" t="inlineStr">
        <is>
          <t>221</t>
        </is>
      </c>
      <c r="B222" t="inlineStr">
        <is>
          <t>David Kent</t>
        </is>
      </c>
      <c r="C222" t="inlineStr">
        <is>
          <t>Whitby Wheelers CC</t>
        </is>
      </c>
      <c r="D222" t="inlineStr">
        <is>
          <t>33</t>
        </is>
      </c>
      <c r="E222" s="2">
        <f>HYPERLINK("https://www.britishcycling.org.uk/points?person_id=323521&amp;year=2024&amp;type=national&amp;d=6","Results")</f>
        <v/>
      </c>
    </row>
    <row r="223">
      <c r="A223" t="inlineStr">
        <is>
          <t>222</t>
        </is>
      </c>
      <c r="B223" t="inlineStr">
        <is>
          <t>Paul Moss</t>
        </is>
      </c>
      <c r="C223" t="inlineStr">
        <is>
          <t>Stowmarket &amp; District CC</t>
        </is>
      </c>
      <c r="D223" t="inlineStr">
        <is>
          <t>33</t>
        </is>
      </c>
      <c r="E223" s="2">
        <f>HYPERLINK("https://www.britishcycling.org.uk/points?person_id=36231&amp;year=2024&amp;type=national&amp;d=6","Results")</f>
        <v/>
      </c>
    </row>
    <row r="224">
      <c r="A224" t="inlineStr">
        <is>
          <t>223</t>
        </is>
      </c>
      <c r="B224" t="inlineStr">
        <is>
          <t>Nick Taylor</t>
        </is>
      </c>
      <c r="C224" t="inlineStr">
        <is>
          <t>Shibden Cycling Club</t>
        </is>
      </c>
      <c r="D224" t="inlineStr">
        <is>
          <t>33</t>
        </is>
      </c>
      <c r="E224" s="2">
        <f>HYPERLINK("https://www.britishcycling.org.uk/points?person_id=172648&amp;year=2024&amp;type=national&amp;d=6","Results")</f>
        <v/>
      </c>
    </row>
    <row r="225">
      <c r="A225" t="inlineStr">
        <is>
          <t>224</t>
        </is>
      </c>
      <c r="B225" t="inlineStr">
        <is>
          <t>Stephen Bradbrook</t>
        </is>
      </c>
      <c r="C225" t="inlineStr">
        <is>
          <t>Bioracer UK RT</t>
        </is>
      </c>
      <c r="D225" t="inlineStr">
        <is>
          <t>32</t>
        </is>
      </c>
      <c r="E225" s="2">
        <f>HYPERLINK("https://www.britishcycling.org.uk/points?person_id=36965&amp;year=2024&amp;type=national&amp;d=6","Results")</f>
        <v/>
      </c>
    </row>
    <row r="226">
      <c r="A226" t="inlineStr">
        <is>
          <t>225</t>
        </is>
      </c>
      <c r="B226" t="inlineStr">
        <is>
          <t>Scott Kidd</t>
        </is>
      </c>
      <c r="C226" t="inlineStr">
        <is>
          <t>Falkirk Bicycle Club</t>
        </is>
      </c>
      <c r="D226" t="inlineStr">
        <is>
          <t>32</t>
        </is>
      </c>
      <c r="E226" s="2">
        <f>HYPERLINK("https://www.britishcycling.org.uk/points?person_id=953075&amp;year=2024&amp;type=national&amp;d=6","Results")</f>
        <v/>
      </c>
    </row>
    <row r="227">
      <c r="A227" t="inlineStr">
        <is>
          <t>226</t>
        </is>
      </c>
      <c r="B227" t="inlineStr">
        <is>
          <t>Daniel McDonnell</t>
        </is>
      </c>
      <c r="C227" t="inlineStr">
        <is>
          <t>Welland Valley CC</t>
        </is>
      </c>
      <c r="D227" t="inlineStr">
        <is>
          <t>32</t>
        </is>
      </c>
      <c r="E227" s="2">
        <f>HYPERLINK("https://www.britishcycling.org.uk/points?person_id=197347&amp;year=2024&amp;type=national&amp;d=6","Results")</f>
        <v/>
      </c>
    </row>
    <row r="228">
      <c r="A228" t="inlineStr">
        <is>
          <t>227</t>
        </is>
      </c>
      <c r="B228" t="inlineStr">
        <is>
          <t>Ian Braybrook</t>
        </is>
      </c>
      <c r="C228" t="inlineStr">
        <is>
          <t>Basildon CC</t>
        </is>
      </c>
      <c r="D228" t="inlineStr">
        <is>
          <t>30</t>
        </is>
      </c>
      <c r="E228" s="2">
        <f>HYPERLINK("https://www.britishcycling.org.uk/points?person_id=309465&amp;year=2024&amp;type=national&amp;d=6","Results")</f>
        <v/>
      </c>
    </row>
    <row r="229">
      <c r="A229" t="inlineStr">
        <is>
          <t>228</t>
        </is>
      </c>
      <c r="B229" t="inlineStr">
        <is>
          <t>Jason Harrison</t>
        </is>
      </c>
      <c r="C229" t="inlineStr">
        <is>
          <t>Sotonia CC</t>
        </is>
      </c>
      <c r="D229" t="inlineStr">
        <is>
          <t>30</t>
        </is>
      </c>
      <c r="E229" s="2">
        <f>HYPERLINK("https://www.britishcycling.org.uk/points?person_id=191336&amp;year=2024&amp;type=national&amp;d=6","Results")</f>
        <v/>
      </c>
    </row>
    <row r="230">
      <c r="A230" t="inlineStr">
        <is>
          <t>229</t>
        </is>
      </c>
      <c r="B230" t="inlineStr">
        <is>
          <t>Andrew South</t>
        </is>
      </c>
      <c r="C230" t="inlineStr">
        <is>
          <t>GS Avanti</t>
        </is>
      </c>
      <c r="D230" t="inlineStr">
        <is>
          <t>30</t>
        </is>
      </c>
      <c r="E230" s="2">
        <f>HYPERLINK("https://www.britishcycling.org.uk/points?person_id=427013&amp;year=2024&amp;type=national&amp;d=6","Results")</f>
        <v/>
      </c>
    </row>
    <row r="231">
      <c r="A231" t="inlineStr">
        <is>
          <t>230</t>
        </is>
      </c>
      <c r="B231" t="inlineStr">
        <is>
          <t>Gary Webber</t>
        </is>
      </c>
      <c r="C231" t="inlineStr">
        <is>
          <t>North Devon Velo</t>
        </is>
      </c>
      <c r="D231" t="inlineStr">
        <is>
          <t>30</t>
        </is>
      </c>
      <c r="E231" s="2">
        <f>HYPERLINK("https://www.britishcycling.org.uk/points?person_id=516449&amp;year=2024&amp;type=national&amp;d=6","Results")</f>
        <v/>
      </c>
    </row>
    <row r="232">
      <c r="A232" t="inlineStr">
        <is>
          <t>231</t>
        </is>
      </c>
      <c r="B232" t="inlineStr">
        <is>
          <t>Stephen Wilkinson</t>
        </is>
      </c>
      <c r="C232" t="inlineStr">
        <is>
          <t>Vanelli-Project Go</t>
        </is>
      </c>
      <c r="D232" t="inlineStr">
        <is>
          <t>30</t>
        </is>
      </c>
      <c r="E232" s="2">
        <f>HYPERLINK("https://www.britishcycling.org.uk/points?person_id=51576&amp;year=2024&amp;type=national&amp;d=6","Results")</f>
        <v/>
      </c>
    </row>
    <row r="233">
      <c r="A233" t="inlineStr">
        <is>
          <t>232</t>
        </is>
      </c>
      <c r="B233" t="inlineStr">
        <is>
          <t>Jason Barnes</t>
        </is>
      </c>
      <c r="C233" t="inlineStr">
        <is>
          <t>Glasgow Nightingale CC</t>
        </is>
      </c>
      <c r="D233" t="inlineStr">
        <is>
          <t>28</t>
        </is>
      </c>
      <c r="E233" s="2">
        <f>HYPERLINK("https://www.britishcycling.org.uk/points?person_id=128927&amp;year=2024&amp;type=national&amp;d=6","Results")</f>
        <v/>
      </c>
    </row>
    <row r="234">
      <c r="A234" t="inlineStr">
        <is>
          <t>233</t>
        </is>
      </c>
      <c r="B234" t="inlineStr">
        <is>
          <t>Morris Elphick</t>
        </is>
      </c>
      <c r="C234" t="inlineStr">
        <is>
          <t>Exeter Wheelers</t>
        </is>
      </c>
      <c r="D234" t="inlineStr">
        <is>
          <t>28</t>
        </is>
      </c>
      <c r="E234" s="2">
        <f>HYPERLINK("https://www.britishcycling.org.uk/points?person_id=52199&amp;year=2024&amp;type=national&amp;d=6","Results")</f>
        <v/>
      </c>
    </row>
    <row r="235">
      <c r="A235" t="inlineStr">
        <is>
          <t>234</t>
        </is>
      </c>
      <c r="B235" t="inlineStr">
        <is>
          <t>Norman Gillan</t>
        </is>
      </c>
      <c r="C235" t="inlineStr">
        <is>
          <t>Squadra Porcini</t>
        </is>
      </c>
      <c r="D235" t="inlineStr">
        <is>
          <t>28</t>
        </is>
      </c>
      <c r="E235" s="2">
        <f>HYPERLINK("https://www.britishcycling.org.uk/points?person_id=391037&amp;year=2024&amp;type=national&amp;d=6","Results")</f>
        <v/>
      </c>
    </row>
    <row r="236">
      <c r="A236" t="inlineStr">
        <is>
          <t>235</t>
        </is>
      </c>
      <c r="B236" t="inlineStr">
        <is>
          <t>Paul Steadman</t>
        </is>
      </c>
      <c r="C236" t="inlineStr">
        <is>
          <t>South Shields Velo Cycling Club</t>
        </is>
      </c>
      <c r="D236" t="inlineStr">
        <is>
          <t>28</t>
        </is>
      </c>
      <c r="E236" s="2">
        <f>HYPERLINK("https://www.britishcycling.org.uk/points?person_id=172572&amp;year=2024&amp;type=national&amp;d=6","Results")</f>
        <v/>
      </c>
    </row>
    <row r="237">
      <c r="A237" t="inlineStr">
        <is>
          <t>236</t>
        </is>
      </c>
      <c r="B237" t="inlineStr">
        <is>
          <t>Gary Brooks</t>
        </is>
      </c>
      <c r="C237" t="inlineStr">
        <is>
          <t>Kenilworth Wheelers CC</t>
        </is>
      </c>
      <c r="D237" t="inlineStr">
        <is>
          <t>27</t>
        </is>
      </c>
      <c r="E237" s="2">
        <f>HYPERLINK("https://www.britishcycling.org.uk/points?person_id=205019&amp;year=2024&amp;type=national&amp;d=6","Results")</f>
        <v/>
      </c>
    </row>
    <row r="238">
      <c r="A238" t="inlineStr">
        <is>
          <t>237</t>
        </is>
      </c>
      <c r="B238" t="inlineStr">
        <is>
          <t>Craig Morris</t>
        </is>
      </c>
      <c r="C238" t="inlineStr">
        <is>
          <t>www.Zepnat.com RT - Lazer Helmets</t>
        </is>
      </c>
      <c r="D238" t="inlineStr">
        <is>
          <t>26</t>
        </is>
      </c>
      <c r="E238" s="2">
        <f>HYPERLINK("https://www.britishcycling.org.uk/points?person_id=402005&amp;year=2024&amp;type=national&amp;d=6","Results")</f>
        <v/>
      </c>
    </row>
    <row r="239">
      <c r="A239" t="inlineStr">
        <is>
          <t>238</t>
        </is>
      </c>
      <c r="B239" t="inlineStr">
        <is>
          <t>Alex Tate</t>
        </is>
      </c>
      <c r="C239" t="inlineStr">
        <is>
          <t>Kingston Wheelers CC</t>
        </is>
      </c>
      <c r="D239" t="inlineStr">
        <is>
          <t>26</t>
        </is>
      </c>
      <c r="E239" s="2">
        <f>HYPERLINK("https://www.britishcycling.org.uk/points?person_id=944238&amp;year=2024&amp;type=national&amp;d=6","Results")</f>
        <v/>
      </c>
    </row>
    <row r="240">
      <c r="A240" t="inlineStr">
        <is>
          <t>239</t>
        </is>
      </c>
      <c r="B240" t="inlineStr">
        <is>
          <t>Simon Titmuss</t>
        </is>
      </c>
      <c r="C240" t="inlineStr">
        <is>
          <t>Ronde Cycling Club</t>
        </is>
      </c>
      <c r="D240" t="inlineStr">
        <is>
          <t>26</t>
        </is>
      </c>
      <c r="E240" s="2">
        <f>HYPERLINK("https://www.britishcycling.org.uk/points?person_id=282969&amp;year=2024&amp;type=national&amp;d=6","Results")</f>
        <v/>
      </c>
    </row>
    <row r="241">
      <c r="A241" t="inlineStr">
        <is>
          <t>240</t>
        </is>
      </c>
      <c r="B241" t="inlineStr">
        <is>
          <t>Stephen Brook</t>
        </is>
      </c>
      <c r="C241" t="inlineStr">
        <is>
          <t>West Suffolk Wheelers</t>
        </is>
      </c>
      <c r="D241" t="inlineStr">
        <is>
          <t>25</t>
        </is>
      </c>
      <c r="E241" s="2">
        <f>HYPERLINK("https://www.britishcycling.org.uk/points?person_id=300623&amp;year=2024&amp;type=national&amp;d=6","Results")</f>
        <v/>
      </c>
    </row>
    <row r="242">
      <c r="A242" t="inlineStr">
        <is>
          <t>241</t>
        </is>
      </c>
      <c r="B242" t="inlineStr">
        <is>
          <t>Christopher Crowther</t>
        </is>
      </c>
      <c r="C242" t="inlineStr">
        <is>
          <t>Army Cycling Union</t>
        </is>
      </c>
      <c r="D242" t="inlineStr">
        <is>
          <t>25</t>
        </is>
      </c>
      <c r="E242" s="2">
        <f>HYPERLINK("https://www.britishcycling.org.uk/points?person_id=40856&amp;year=2024&amp;type=national&amp;d=6","Results")</f>
        <v/>
      </c>
    </row>
    <row r="243">
      <c r="A243" t="inlineStr">
        <is>
          <t>242</t>
        </is>
      </c>
      <c r="B243" t="inlineStr">
        <is>
          <t>Derek Gallacher</t>
        </is>
      </c>
      <c r="C243" t="inlineStr">
        <is>
          <t>Newmarket Cycling &amp;Triathlon Club</t>
        </is>
      </c>
      <c r="D243" t="inlineStr">
        <is>
          <t>25</t>
        </is>
      </c>
      <c r="E243" s="2">
        <f>HYPERLINK("https://www.britishcycling.org.uk/points?person_id=347253&amp;year=2024&amp;type=national&amp;d=6","Results")</f>
        <v/>
      </c>
    </row>
    <row r="244">
      <c r="A244" t="inlineStr">
        <is>
          <t>243</t>
        </is>
      </c>
      <c r="B244" t="inlineStr">
        <is>
          <t>Owen Davies</t>
        </is>
      </c>
      <c r="C244" t="inlineStr">
        <is>
          <t>Abergavenny Road Club</t>
        </is>
      </c>
      <c r="D244" t="inlineStr">
        <is>
          <t>24</t>
        </is>
      </c>
      <c r="E244" s="2">
        <f>HYPERLINK("https://www.britishcycling.org.uk/points?person_id=646&amp;year=2024&amp;type=national&amp;d=6","Results")</f>
        <v/>
      </c>
    </row>
    <row r="245">
      <c r="A245" t="inlineStr">
        <is>
          <t>244</t>
        </is>
      </c>
      <c r="B245" t="inlineStr">
        <is>
          <t>Jonathan Robinson</t>
        </is>
      </c>
      <c r="C245" t="inlineStr">
        <is>
          <t>Army Cycling Union</t>
        </is>
      </c>
      <c r="D245" t="inlineStr">
        <is>
          <t>24</t>
        </is>
      </c>
      <c r="E245" s="2">
        <f>HYPERLINK("https://www.britishcycling.org.uk/points?person_id=282734&amp;year=2024&amp;type=national&amp;d=6","Results")</f>
        <v/>
      </c>
    </row>
    <row r="246">
      <c r="A246" t="inlineStr">
        <is>
          <t>245</t>
        </is>
      </c>
      <c r="B246" t="inlineStr">
        <is>
          <t>Greg Simcock</t>
        </is>
      </c>
      <c r="C246" t="inlineStr">
        <is>
          <t>CC Luton</t>
        </is>
      </c>
      <c r="D246" t="inlineStr">
        <is>
          <t>24</t>
        </is>
      </c>
      <c r="E246" s="2">
        <f>HYPERLINK("https://www.britishcycling.org.uk/points?person_id=78594&amp;year=2024&amp;type=national&amp;d=6","Results")</f>
        <v/>
      </c>
    </row>
    <row r="247">
      <c r="A247" t="inlineStr">
        <is>
          <t>246</t>
        </is>
      </c>
      <c r="B247" t="inlineStr">
        <is>
          <t>Russell Gordon</t>
        </is>
      </c>
      <c r="C247" t="inlineStr">
        <is>
          <t>inSync Cycling</t>
        </is>
      </c>
      <c r="D247" t="inlineStr">
        <is>
          <t>23</t>
        </is>
      </c>
      <c r="E247" s="2">
        <f>HYPERLINK("https://www.britishcycling.org.uk/points?person_id=377253&amp;year=2024&amp;type=national&amp;d=6","Results")</f>
        <v/>
      </c>
    </row>
    <row r="248">
      <c r="A248" t="inlineStr">
        <is>
          <t>247</t>
        </is>
      </c>
      <c r="B248" t="inlineStr">
        <is>
          <t>Michael Greaney</t>
        </is>
      </c>
      <c r="C248" t="inlineStr">
        <is>
          <t>Stockport Clarion CC</t>
        </is>
      </c>
      <c r="D248" t="inlineStr">
        <is>
          <t>23</t>
        </is>
      </c>
      <c r="E248" s="2">
        <f>HYPERLINK("https://www.britishcycling.org.uk/points?person_id=349886&amp;year=2024&amp;type=national&amp;d=6","Results")</f>
        <v/>
      </c>
    </row>
    <row r="249">
      <c r="A249" t="inlineStr">
        <is>
          <t>248</t>
        </is>
      </c>
      <c r="B249" t="inlineStr">
        <is>
          <t>James Brown</t>
        </is>
      </c>
      <c r="C249" t="inlineStr">
        <is>
          <t>VC Deal</t>
        </is>
      </c>
      <c r="D249" t="inlineStr">
        <is>
          <t>22</t>
        </is>
      </c>
      <c r="E249" s="2">
        <f>HYPERLINK("https://www.britishcycling.org.uk/points?person_id=242417&amp;year=2024&amp;type=national&amp;d=6","Results")</f>
        <v/>
      </c>
    </row>
    <row r="250">
      <c r="A250" t="inlineStr">
        <is>
          <t>249</t>
        </is>
      </c>
      <c r="B250" t="inlineStr">
        <is>
          <t>Warren Drew</t>
        </is>
      </c>
      <c r="C250" t="inlineStr">
        <is>
          <t>Ride for Charlie</t>
        </is>
      </c>
      <c r="D250" t="inlineStr">
        <is>
          <t>22</t>
        </is>
      </c>
      <c r="E250" s="2">
        <f>HYPERLINK("https://www.britishcycling.org.uk/points?person_id=187608&amp;year=2024&amp;type=national&amp;d=6","Results")</f>
        <v/>
      </c>
    </row>
    <row r="251">
      <c r="A251" t="inlineStr">
        <is>
          <t>250</t>
        </is>
      </c>
      <c r="B251" t="inlineStr">
        <is>
          <t>David Hobbs</t>
        </is>
      </c>
      <c r="C251" t="inlineStr">
        <is>
          <t>Cotswold Veldrijden</t>
        </is>
      </c>
      <c r="D251" t="inlineStr">
        <is>
          <t>22</t>
        </is>
      </c>
      <c r="E251" s="2">
        <f>HYPERLINK("https://www.britishcycling.org.uk/points?person_id=106141&amp;year=2024&amp;type=national&amp;d=6","Results")</f>
        <v/>
      </c>
    </row>
    <row r="252">
      <c r="A252" t="inlineStr">
        <is>
          <t>251</t>
        </is>
      </c>
      <c r="B252" t="inlineStr">
        <is>
          <t>Ian Russell</t>
        </is>
      </c>
      <c r="C252" t="inlineStr">
        <is>
          <t>Newark Castle CC</t>
        </is>
      </c>
      <c r="D252" t="inlineStr">
        <is>
          <t>22</t>
        </is>
      </c>
      <c r="E252" s="2">
        <f>HYPERLINK("https://www.britishcycling.org.uk/points?person_id=79255&amp;year=2024&amp;type=national&amp;d=6","Results")</f>
        <v/>
      </c>
    </row>
    <row r="253">
      <c r="A253" t="inlineStr">
        <is>
          <t>252</t>
        </is>
      </c>
      <c r="B253" t="inlineStr">
        <is>
          <t>Darren Haynes</t>
        </is>
      </c>
      <c r="C253" t="inlineStr">
        <is>
          <t>Lewes Wanderers CC</t>
        </is>
      </c>
      <c r="D253" t="inlineStr">
        <is>
          <t>21</t>
        </is>
      </c>
      <c r="E253" s="2">
        <f>HYPERLINK("https://www.britishcycling.org.uk/points?person_id=211927&amp;year=2024&amp;type=national&amp;d=6","Results")</f>
        <v/>
      </c>
    </row>
    <row r="254">
      <c r="A254" t="inlineStr">
        <is>
          <t>253</t>
        </is>
      </c>
      <c r="B254" t="inlineStr">
        <is>
          <t>David Alexander</t>
        </is>
      </c>
      <c r="C254" t="inlineStr">
        <is>
          <t>Coalville Wheelers CC</t>
        </is>
      </c>
      <c r="D254" t="inlineStr">
        <is>
          <t>20</t>
        </is>
      </c>
      <c r="E254" s="2">
        <f>HYPERLINK("https://www.britishcycling.org.uk/points?person_id=768648&amp;year=2024&amp;type=national&amp;d=6","Results")</f>
        <v/>
      </c>
    </row>
    <row r="255">
      <c r="A255" t="inlineStr">
        <is>
          <t>254</t>
        </is>
      </c>
      <c r="B255" t="inlineStr">
        <is>
          <t>Alan Ford</t>
        </is>
      </c>
      <c r="C255" t="inlineStr">
        <is>
          <t>Stratford CC</t>
        </is>
      </c>
      <c r="D255" t="inlineStr">
        <is>
          <t>20</t>
        </is>
      </c>
      <c r="E255" s="2">
        <f>HYPERLINK("https://www.britishcycling.org.uk/points?person_id=995405&amp;year=2024&amp;type=national&amp;d=6","Results")</f>
        <v/>
      </c>
    </row>
    <row r="256">
      <c r="A256" t="inlineStr">
        <is>
          <t>255</t>
        </is>
      </c>
      <c r="B256" t="inlineStr">
        <is>
          <t>Christopher Harrison</t>
        </is>
      </c>
      <c r="C256" t="inlineStr"/>
      <c r="D256" t="inlineStr">
        <is>
          <t>20</t>
        </is>
      </c>
      <c r="E256" s="2">
        <f>HYPERLINK("https://www.britishcycling.org.uk/points?person_id=1140315&amp;year=2024&amp;type=national&amp;d=6","Results")</f>
        <v/>
      </c>
    </row>
    <row r="257">
      <c r="A257" t="inlineStr">
        <is>
          <t>256</t>
        </is>
      </c>
      <c r="B257" t="inlineStr">
        <is>
          <t>Simeon Lloyd</t>
        </is>
      </c>
      <c r="C257" t="inlineStr">
        <is>
          <t>Paramount CRT</t>
        </is>
      </c>
      <c r="D257" t="inlineStr">
        <is>
          <t>20</t>
        </is>
      </c>
      <c r="E257" s="2">
        <f>HYPERLINK("https://www.britishcycling.org.uk/points?person_id=1135801&amp;year=2024&amp;type=national&amp;d=6","Results")</f>
        <v/>
      </c>
    </row>
    <row r="258">
      <c r="A258" t="inlineStr">
        <is>
          <t>257</t>
        </is>
      </c>
      <c r="B258" t="inlineStr">
        <is>
          <t>Andrew Crichton</t>
        </is>
      </c>
      <c r="C258" t="inlineStr">
        <is>
          <t>6AM Cycling</t>
        </is>
      </c>
      <c r="D258" t="inlineStr">
        <is>
          <t>19</t>
        </is>
      </c>
      <c r="E258" s="2">
        <f>HYPERLINK("https://www.britishcycling.org.uk/points?person_id=1124637&amp;year=2024&amp;type=national&amp;d=6","Results")</f>
        <v/>
      </c>
    </row>
    <row r="259">
      <c r="A259" t="inlineStr">
        <is>
          <t>258</t>
        </is>
      </c>
      <c r="B259" t="inlineStr">
        <is>
          <t>Alan Yule</t>
        </is>
      </c>
      <c r="C259" t="inlineStr">
        <is>
          <t>Crawley Wheelers</t>
        </is>
      </c>
      <c r="D259" t="inlineStr">
        <is>
          <t>19</t>
        </is>
      </c>
      <c r="E259" s="2">
        <f>HYPERLINK("https://www.britishcycling.org.uk/points?person_id=180906&amp;year=2024&amp;type=national&amp;d=6","Results")</f>
        <v/>
      </c>
    </row>
    <row r="260">
      <c r="A260" t="inlineStr">
        <is>
          <t>259</t>
        </is>
      </c>
      <c r="B260" t="inlineStr">
        <is>
          <t>Tobias Bunyan</t>
        </is>
      </c>
      <c r="C260" t="inlineStr">
        <is>
          <t>Eastbourne Rovers CC</t>
        </is>
      </c>
      <c r="D260" t="inlineStr">
        <is>
          <t>18</t>
        </is>
      </c>
      <c r="E260" s="2">
        <f>HYPERLINK("https://www.britishcycling.org.uk/points?person_id=282774&amp;year=2024&amp;type=national&amp;d=6","Results")</f>
        <v/>
      </c>
    </row>
    <row r="261">
      <c r="A261" t="inlineStr">
        <is>
          <t>260</t>
        </is>
      </c>
      <c r="B261" t="inlineStr">
        <is>
          <t>Jason Fowler</t>
        </is>
      </c>
      <c r="C261" t="inlineStr">
        <is>
          <t>West Suffolk Wheelers</t>
        </is>
      </c>
      <c r="D261" t="inlineStr">
        <is>
          <t>18</t>
        </is>
      </c>
      <c r="E261" s="2">
        <f>HYPERLINK("https://www.britishcycling.org.uk/points?person_id=663623&amp;year=2024&amp;type=national&amp;d=6","Results")</f>
        <v/>
      </c>
    </row>
    <row r="262">
      <c r="A262" t="inlineStr">
        <is>
          <t>261</t>
        </is>
      </c>
      <c r="B262" t="inlineStr">
        <is>
          <t>Ian Fraser</t>
        </is>
      </c>
      <c r="C262" t="inlineStr">
        <is>
          <t>VC Revolution</t>
        </is>
      </c>
      <c r="D262" t="inlineStr">
        <is>
          <t>18</t>
        </is>
      </c>
      <c r="E262" s="2">
        <f>HYPERLINK("https://www.britishcycling.org.uk/points?person_id=249315&amp;year=2024&amp;type=national&amp;d=6","Results")</f>
        <v/>
      </c>
    </row>
    <row r="263">
      <c r="A263" t="inlineStr">
        <is>
          <t>262</t>
        </is>
      </c>
      <c r="B263" t="inlineStr">
        <is>
          <t>Edward Kelsall</t>
        </is>
      </c>
      <c r="C263" t="inlineStr">
        <is>
          <t>Hull Thursday RC</t>
        </is>
      </c>
      <c r="D263" t="inlineStr">
        <is>
          <t>18</t>
        </is>
      </c>
      <c r="E263" s="2">
        <f>HYPERLINK("https://www.britishcycling.org.uk/points?person_id=248758&amp;year=2024&amp;type=national&amp;d=6","Results")</f>
        <v/>
      </c>
    </row>
    <row r="264">
      <c r="A264" t="inlineStr">
        <is>
          <t>263</t>
        </is>
      </c>
      <c r="B264" t="inlineStr">
        <is>
          <t>Spencer Laborde</t>
        </is>
      </c>
      <c r="C264" t="inlineStr">
        <is>
          <t>Aylsham Road Club</t>
        </is>
      </c>
      <c r="D264" t="inlineStr">
        <is>
          <t>18</t>
        </is>
      </c>
      <c r="E264" s="2">
        <f>HYPERLINK("https://www.britishcycling.org.uk/points?person_id=124767&amp;year=2024&amp;type=national&amp;d=6","Results")</f>
        <v/>
      </c>
    </row>
    <row r="265">
      <c r="A265" t="inlineStr">
        <is>
          <t>264</t>
        </is>
      </c>
      <c r="B265" t="inlineStr">
        <is>
          <t>Paul Milner</t>
        </is>
      </c>
      <c r="C265" t="inlineStr">
        <is>
          <t>Stevenage CC</t>
        </is>
      </c>
      <c r="D265" t="inlineStr">
        <is>
          <t>18</t>
        </is>
      </c>
      <c r="E265" s="2">
        <f>HYPERLINK("https://www.britishcycling.org.uk/points?person_id=690513&amp;year=2024&amp;type=national&amp;d=6","Results")</f>
        <v/>
      </c>
    </row>
    <row r="266">
      <c r="A266" t="inlineStr">
        <is>
          <t>265</t>
        </is>
      </c>
      <c r="B266" t="inlineStr">
        <is>
          <t>Scott Stephenson</t>
        </is>
      </c>
      <c r="C266" t="inlineStr"/>
      <c r="D266" t="inlineStr">
        <is>
          <t>18</t>
        </is>
      </c>
      <c r="E266" s="2">
        <f>HYPERLINK("https://www.britishcycling.org.uk/points?person_id=246882&amp;year=2024&amp;type=national&amp;d=6","Results")</f>
        <v/>
      </c>
    </row>
    <row r="267">
      <c r="A267" t="inlineStr">
        <is>
          <t>266</t>
        </is>
      </c>
      <c r="B267" t="inlineStr">
        <is>
          <t>Dominic Watts</t>
        </is>
      </c>
      <c r="C267" t="inlineStr">
        <is>
          <t>Bolsover &amp; District Cycling Club</t>
        </is>
      </c>
      <c r="D267" t="inlineStr">
        <is>
          <t>18</t>
        </is>
      </c>
      <c r="E267" s="2">
        <f>HYPERLINK("https://www.britishcycling.org.uk/points?person_id=11372&amp;year=2024&amp;type=national&amp;d=6","Results")</f>
        <v/>
      </c>
    </row>
    <row r="268">
      <c r="A268" t="inlineStr">
        <is>
          <t>267</t>
        </is>
      </c>
      <c r="B268" t="inlineStr">
        <is>
          <t>Scott Anderson</t>
        </is>
      </c>
      <c r="C268" t="inlineStr">
        <is>
          <t>Royal Albert CC</t>
        </is>
      </c>
      <c r="D268" t="inlineStr">
        <is>
          <t>17</t>
        </is>
      </c>
      <c r="E268" s="2">
        <f>HYPERLINK("https://www.britishcycling.org.uk/points?person_id=10301&amp;year=2024&amp;type=national&amp;d=6","Results")</f>
        <v/>
      </c>
    </row>
    <row r="269">
      <c r="A269" t="inlineStr">
        <is>
          <t>268</t>
        </is>
      </c>
      <c r="B269" t="inlineStr">
        <is>
          <t>Roy Chamberlain</t>
        </is>
      </c>
      <c r="C269" t="inlineStr">
        <is>
          <t>Club Corley Cycles RC</t>
        </is>
      </c>
      <c r="D269" t="inlineStr">
        <is>
          <t>17</t>
        </is>
      </c>
      <c r="E269" s="2">
        <f>HYPERLINK("https://www.britishcycling.org.uk/points?person_id=78190&amp;year=2024&amp;type=national&amp;d=6","Results")</f>
        <v/>
      </c>
    </row>
    <row r="270">
      <c r="A270" t="inlineStr">
        <is>
          <t>269</t>
        </is>
      </c>
      <c r="B270" t="inlineStr">
        <is>
          <t>Mark Saxton</t>
        </is>
      </c>
      <c r="C270" t="inlineStr">
        <is>
          <t>Huddersfield Star Wheelers</t>
        </is>
      </c>
      <c r="D270" t="inlineStr">
        <is>
          <t>17</t>
        </is>
      </c>
      <c r="E270" s="2">
        <f>HYPERLINK("https://www.britishcycling.org.uk/points?person_id=6598&amp;year=2024&amp;type=national&amp;d=6","Results")</f>
        <v/>
      </c>
    </row>
    <row r="271">
      <c r="A271" t="inlineStr">
        <is>
          <t>270</t>
        </is>
      </c>
      <c r="B271" t="inlineStr">
        <is>
          <t>Gary Strickland</t>
        </is>
      </c>
      <c r="C271" t="inlineStr">
        <is>
          <t>VC Long Eaton</t>
        </is>
      </c>
      <c r="D271" t="inlineStr">
        <is>
          <t>17</t>
        </is>
      </c>
      <c r="E271" s="2">
        <f>HYPERLINK("https://www.britishcycling.org.uk/points?person_id=33107&amp;year=2024&amp;type=national&amp;d=6","Results")</f>
        <v/>
      </c>
    </row>
    <row r="272">
      <c r="A272" t="inlineStr">
        <is>
          <t>271</t>
        </is>
      </c>
      <c r="B272" t="inlineStr">
        <is>
          <t>Craig Tabiner</t>
        </is>
      </c>
      <c r="C272" t="inlineStr">
        <is>
          <t>Port Sunlight Wheelers</t>
        </is>
      </c>
      <c r="D272" t="inlineStr">
        <is>
          <t>17</t>
        </is>
      </c>
      <c r="E272" s="2">
        <f>HYPERLINK("https://www.britishcycling.org.uk/points?person_id=292995&amp;year=2024&amp;type=national&amp;d=6","Results")</f>
        <v/>
      </c>
    </row>
    <row r="273">
      <c r="A273" t="inlineStr">
        <is>
          <t>272</t>
        </is>
      </c>
      <c r="B273" t="inlineStr">
        <is>
          <t>James Tredray</t>
        </is>
      </c>
      <c r="C273" t="inlineStr">
        <is>
          <t>Dulwich Paragon CC</t>
        </is>
      </c>
      <c r="D273" t="inlineStr">
        <is>
          <t>17</t>
        </is>
      </c>
      <c r="E273" s="2">
        <f>HYPERLINK("https://www.britishcycling.org.uk/points?person_id=402934&amp;year=2024&amp;type=national&amp;d=6","Results")</f>
        <v/>
      </c>
    </row>
    <row r="274">
      <c r="A274" t="inlineStr">
        <is>
          <t>273</t>
        </is>
      </c>
      <c r="B274" t="inlineStr">
        <is>
          <t>Kurt Wallin</t>
        </is>
      </c>
      <c r="C274" t="inlineStr">
        <is>
          <t>Banjo Cycles/Raceware</t>
        </is>
      </c>
      <c r="D274" t="inlineStr">
        <is>
          <t>17</t>
        </is>
      </c>
      <c r="E274" s="2">
        <f>HYPERLINK("https://www.britishcycling.org.uk/points?person_id=310443&amp;year=2024&amp;type=national&amp;d=6","Results")</f>
        <v/>
      </c>
    </row>
    <row r="275">
      <c r="A275" t="inlineStr">
        <is>
          <t>274</t>
        </is>
      </c>
      <c r="B275" t="inlineStr">
        <is>
          <t>Paul Campbell</t>
        </is>
      </c>
      <c r="C275" t="inlineStr">
        <is>
          <t>Wilsons Wheels Race Team</t>
        </is>
      </c>
      <c r="D275" t="inlineStr">
        <is>
          <t>16</t>
        </is>
      </c>
      <c r="E275" s="2">
        <f>HYPERLINK("https://www.britishcycling.org.uk/points?person_id=30945&amp;year=2024&amp;type=national&amp;d=6","Results")</f>
        <v/>
      </c>
    </row>
    <row r="276">
      <c r="A276" t="inlineStr">
        <is>
          <t>275</t>
        </is>
      </c>
      <c r="B276" t="inlineStr">
        <is>
          <t>Gordon Dickson</t>
        </is>
      </c>
      <c r="C276" t="inlineStr"/>
      <c r="D276" t="inlineStr">
        <is>
          <t>16</t>
        </is>
      </c>
      <c r="E276" s="2">
        <f>HYPERLINK("https://www.britishcycling.org.uk/points?person_id=15533&amp;year=2024&amp;type=national&amp;d=6","Results")</f>
        <v/>
      </c>
    </row>
    <row r="277">
      <c r="A277" t="inlineStr">
        <is>
          <t>276</t>
        </is>
      </c>
      <c r="B277" t="inlineStr">
        <is>
          <t>Steve Large</t>
        </is>
      </c>
      <c r="C277" t="inlineStr">
        <is>
          <t>Royal Leamington Spa CC (RLSCC)</t>
        </is>
      </c>
      <c r="D277" t="inlineStr">
        <is>
          <t>16</t>
        </is>
      </c>
      <c r="E277" s="2">
        <f>HYPERLINK("https://www.britishcycling.org.uk/points?person_id=225906&amp;year=2024&amp;type=national&amp;d=6","Results")</f>
        <v/>
      </c>
    </row>
    <row r="278">
      <c r="A278" t="inlineStr">
        <is>
          <t>277</t>
        </is>
      </c>
      <c r="B278" t="inlineStr">
        <is>
          <t>Ian Marshall</t>
        </is>
      </c>
      <c r="C278" t="inlineStr">
        <is>
          <t>Cardiff JIF</t>
        </is>
      </c>
      <c r="D278" t="inlineStr">
        <is>
          <t>16</t>
        </is>
      </c>
      <c r="E278" s="2">
        <f>HYPERLINK("https://www.britishcycling.org.uk/points?person_id=407806&amp;year=2024&amp;type=national&amp;d=6","Results")</f>
        <v/>
      </c>
    </row>
    <row r="279">
      <c r="A279" t="inlineStr">
        <is>
          <t>278</t>
        </is>
      </c>
      <c r="B279" t="inlineStr">
        <is>
          <t>Mark Mather</t>
        </is>
      </c>
      <c r="C279" t="inlineStr">
        <is>
          <t>Ferryhill Wheelers CC</t>
        </is>
      </c>
      <c r="D279" t="inlineStr">
        <is>
          <t>16</t>
        </is>
      </c>
      <c r="E279" s="2">
        <f>HYPERLINK("https://www.britishcycling.org.uk/points?person_id=57136&amp;year=2024&amp;type=national&amp;d=6","Results")</f>
        <v/>
      </c>
    </row>
    <row r="280">
      <c r="A280" t="inlineStr">
        <is>
          <t>279</t>
        </is>
      </c>
      <c r="B280" t="inlineStr">
        <is>
          <t>Jose Vicente-Garcia</t>
        </is>
      </c>
      <c r="C280" t="inlineStr">
        <is>
          <t>CC Sudbury</t>
        </is>
      </c>
      <c r="D280" t="inlineStr">
        <is>
          <t>16</t>
        </is>
      </c>
      <c r="E280" s="2">
        <f>HYPERLINK("https://www.britishcycling.org.uk/points?person_id=772073&amp;year=2024&amp;type=national&amp;d=6","Results")</f>
        <v/>
      </c>
    </row>
    <row r="281">
      <c r="A281" t="inlineStr">
        <is>
          <t>280</t>
        </is>
      </c>
      <c r="B281" t="inlineStr">
        <is>
          <t>Paul Drinkwater</t>
        </is>
      </c>
      <c r="C281" t="inlineStr">
        <is>
          <t>Seacroft Wheelers</t>
        </is>
      </c>
      <c r="D281" t="inlineStr">
        <is>
          <t>15</t>
        </is>
      </c>
      <c r="E281" s="2">
        <f>HYPERLINK("https://www.britishcycling.org.uk/points?person_id=6313&amp;year=2024&amp;type=national&amp;d=6","Results")</f>
        <v/>
      </c>
    </row>
    <row r="282">
      <c r="A282" t="inlineStr">
        <is>
          <t>281</t>
        </is>
      </c>
      <c r="B282" t="inlineStr">
        <is>
          <t>Gerard Scott</t>
        </is>
      </c>
      <c r="C282" t="inlineStr">
        <is>
          <t>Royal Leamington Spa CC (RLSCC)</t>
        </is>
      </c>
      <c r="D282" t="inlineStr">
        <is>
          <t>15</t>
        </is>
      </c>
      <c r="E282" s="2">
        <f>HYPERLINK("https://www.britishcycling.org.uk/points?person_id=408218&amp;year=2024&amp;type=national&amp;d=6","Results")</f>
        <v/>
      </c>
    </row>
    <row r="283">
      <c r="A283" t="inlineStr">
        <is>
          <t>282</t>
        </is>
      </c>
      <c r="B283" t="inlineStr">
        <is>
          <t>Ian Thompson</t>
        </is>
      </c>
      <c r="C283" t="inlineStr">
        <is>
          <t>Cleveland Wheelers CC</t>
        </is>
      </c>
      <c r="D283" t="inlineStr">
        <is>
          <t>15</t>
        </is>
      </c>
      <c r="E283" s="2">
        <f>HYPERLINK("https://www.britishcycling.org.uk/points?person_id=217326&amp;year=2024&amp;type=national&amp;d=6","Results")</f>
        <v/>
      </c>
    </row>
    <row r="284">
      <c r="A284" t="inlineStr">
        <is>
          <t>283</t>
        </is>
      </c>
      <c r="B284" t="inlineStr">
        <is>
          <t>Darren Binks</t>
        </is>
      </c>
      <c r="C284" t="inlineStr">
        <is>
          <t>Sowerby Sunday Club</t>
        </is>
      </c>
      <c r="D284" t="inlineStr">
        <is>
          <t>14</t>
        </is>
      </c>
      <c r="E284" s="2">
        <f>HYPERLINK("https://www.britishcycling.org.uk/points?person_id=23434&amp;year=2024&amp;type=national&amp;d=6","Results")</f>
        <v/>
      </c>
    </row>
    <row r="285">
      <c r="A285" t="inlineStr">
        <is>
          <t>284</t>
        </is>
      </c>
      <c r="B285" t="inlineStr">
        <is>
          <t>Alistair Carr</t>
        </is>
      </c>
      <c r="C285" t="inlineStr"/>
      <c r="D285" t="inlineStr">
        <is>
          <t>14</t>
        </is>
      </c>
      <c r="E285" s="2">
        <f>HYPERLINK("https://www.britishcycling.org.uk/points?person_id=1091292&amp;year=2024&amp;type=national&amp;d=6","Results")</f>
        <v/>
      </c>
    </row>
    <row r="286">
      <c r="A286" t="inlineStr">
        <is>
          <t>285</t>
        </is>
      </c>
      <c r="B286" t="inlineStr">
        <is>
          <t>Simon Everington</t>
        </is>
      </c>
      <c r="C286" t="inlineStr">
        <is>
          <t>Bristol CX</t>
        </is>
      </c>
      <c r="D286" t="inlineStr">
        <is>
          <t>14</t>
        </is>
      </c>
      <c r="E286" s="2">
        <f>HYPERLINK("https://www.britishcycling.org.uk/points?person_id=515805&amp;year=2024&amp;type=national&amp;d=6","Results")</f>
        <v/>
      </c>
    </row>
    <row r="287">
      <c r="A287" t="inlineStr">
        <is>
          <t>286</t>
        </is>
      </c>
      <c r="B287" t="inlineStr">
        <is>
          <t>Ed Gurney</t>
        </is>
      </c>
      <c r="C287" t="inlineStr">
        <is>
          <t>Velo Club Venta</t>
        </is>
      </c>
      <c r="D287" t="inlineStr">
        <is>
          <t>14</t>
        </is>
      </c>
      <c r="E287" s="2">
        <f>HYPERLINK("https://www.britishcycling.org.uk/points?person_id=237108&amp;year=2024&amp;type=national&amp;d=6","Results")</f>
        <v/>
      </c>
    </row>
    <row r="288">
      <c r="A288" t="inlineStr">
        <is>
          <t>287</t>
        </is>
      </c>
      <c r="B288" t="inlineStr">
        <is>
          <t>Adam Masters</t>
        </is>
      </c>
      <c r="C288" t="inlineStr"/>
      <c r="D288" t="inlineStr">
        <is>
          <t>14</t>
        </is>
      </c>
      <c r="E288" s="2">
        <f>HYPERLINK("https://www.britishcycling.org.uk/points?person_id=16386&amp;year=2024&amp;type=national&amp;d=6","Results")</f>
        <v/>
      </c>
    </row>
    <row r="289">
      <c r="A289" t="inlineStr">
        <is>
          <t>288</t>
        </is>
      </c>
      <c r="B289" t="inlineStr">
        <is>
          <t>Richard Miller</t>
        </is>
      </c>
      <c r="C289" t="inlineStr">
        <is>
          <t>Cambridge Junior Cycling Club</t>
        </is>
      </c>
      <c r="D289" t="inlineStr">
        <is>
          <t>14</t>
        </is>
      </c>
      <c r="E289" s="2">
        <f>HYPERLINK("https://www.britishcycling.org.uk/points?person_id=655036&amp;year=2024&amp;type=national&amp;d=6","Results")</f>
        <v/>
      </c>
    </row>
    <row r="290">
      <c r="A290" t="inlineStr">
        <is>
          <t>289</t>
        </is>
      </c>
      <c r="B290" t="inlineStr">
        <is>
          <t>Darren Morgan</t>
        </is>
      </c>
      <c r="C290" t="inlineStr">
        <is>
          <t>Gannet CC</t>
        </is>
      </c>
      <c r="D290" t="inlineStr">
        <is>
          <t>14</t>
        </is>
      </c>
      <c r="E290" s="2">
        <f>HYPERLINK("https://www.britishcycling.org.uk/points?person_id=375371&amp;year=2024&amp;type=national&amp;d=6","Results")</f>
        <v/>
      </c>
    </row>
    <row r="291">
      <c r="A291" t="inlineStr">
        <is>
          <t>290</t>
        </is>
      </c>
      <c r="B291" t="inlineStr">
        <is>
          <t>Tom Phillipson</t>
        </is>
      </c>
      <c r="C291" t="inlineStr">
        <is>
          <t>Fietsen Tempo</t>
        </is>
      </c>
      <c r="D291" t="inlineStr">
        <is>
          <t>14</t>
        </is>
      </c>
      <c r="E291" s="2">
        <f>HYPERLINK("https://www.britishcycling.org.uk/points?person_id=250775&amp;year=2024&amp;type=national&amp;d=6","Results")</f>
        <v/>
      </c>
    </row>
    <row r="292">
      <c r="A292" t="inlineStr">
        <is>
          <t>291</t>
        </is>
      </c>
      <c r="B292" t="inlineStr">
        <is>
          <t>David Snowdon</t>
        </is>
      </c>
      <c r="C292" t="inlineStr">
        <is>
          <t>South Shields Velo Cycling Club</t>
        </is>
      </c>
      <c r="D292" t="inlineStr">
        <is>
          <t>14</t>
        </is>
      </c>
      <c r="E292" s="2">
        <f>HYPERLINK("https://www.britishcycling.org.uk/points?person_id=93749&amp;year=2024&amp;type=national&amp;d=6","Results")</f>
        <v/>
      </c>
    </row>
    <row r="293">
      <c r="A293" t="inlineStr">
        <is>
          <t>292</t>
        </is>
      </c>
      <c r="B293" t="inlineStr">
        <is>
          <t>Richard Golding</t>
        </is>
      </c>
      <c r="C293" t="inlineStr">
        <is>
          <t>Coalville Wheelers CC</t>
        </is>
      </c>
      <c r="D293" t="inlineStr">
        <is>
          <t>13</t>
        </is>
      </c>
      <c r="E293" s="2">
        <f>HYPERLINK("https://www.britishcycling.org.uk/points?person_id=133559&amp;year=2024&amp;type=national&amp;d=6","Results")</f>
        <v/>
      </c>
    </row>
    <row r="294">
      <c r="A294" t="inlineStr">
        <is>
          <t>293</t>
        </is>
      </c>
      <c r="B294" t="inlineStr">
        <is>
          <t>Lee Raine</t>
        </is>
      </c>
      <c r="C294" t="inlineStr">
        <is>
          <t>South Shields Velo Cycling Club</t>
        </is>
      </c>
      <c r="D294" t="inlineStr">
        <is>
          <t>13</t>
        </is>
      </c>
      <c r="E294" s="2">
        <f>HYPERLINK("https://www.britishcycling.org.uk/points?person_id=538818&amp;year=2024&amp;type=national&amp;d=6","Results")</f>
        <v/>
      </c>
    </row>
    <row r="295">
      <c r="A295" t="inlineStr">
        <is>
          <t>294</t>
        </is>
      </c>
      <c r="B295" t="inlineStr">
        <is>
          <t>Stuart Burke</t>
        </is>
      </c>
      <c r="C295" t="inlineStr">
        <is>
          <t>45 Road Club</t>
        </is>
      </c>
      <c r="D295" t="inlineStr">
        <is>
          <t>12</t>
        </is>
      </c>
      <c r="E295" s="2">
        <f>HYPERLINK("https://www.britishcycling.org.uk/points?person_id=413917&amp;year=2024&amp;type=national&amp;d=6","Results")</f>
        <v/>
      </c>
    </row>
    <row r="296">
      <c r="A296" t="inlineStr">
        <is>
          <t>295</t>
        </is>
      </c>
      <c r="B296" t="inlineStr">
        <is>
          <t>Rene Coupek</t>
        </is>
      </c>
      <c r="C296" t="inlineStr">
        <is>
          <t>Fietsclub Balerno</t>
        </is>
      </c>
      <c r="D296" t="inlineStr">
        <is>
          <t>12</t>
        </is>
      </c>
      <c r="E296" s="2">
        <f>HYPERLINK("https://www.britishcycling.org.uk/points?person_id=564273&amp;year=2024&amp;type=national&amp;d=6","Results")</f>
        <v/>
      </c>
    </row>
    <row r="297">
      <c r="A297" t="inlineStr">
        <is>
          <t>296</t>
        </is>
      </c>
      <c r="B297" t="inlineStr">
        <is>
          <t>Shawn Manning</t>
        </is>
      </c>
      <c r="C297" t="inlineStr">
        <is>
          <t>VC Deal</t>
        </is>
      </c>
      <c r="D297" t="inlineStr">
        <is>
          <t>12</t>
        </is>
      </c>
      <c r="E297" s="2">
        <f>HYPERLINK("https://www.britishcycling.org.uk/points?person_id=263728&amp;year=2024&amp;type=national&amp;d=6","Results")</f>
        <v/>
      </c>
    </row>
    <row r="298">
      <c r="A298" t="inlineStr">
        <is>
          <t>297</t>
        </is>
      </c>
      <c r="B298" t="inlineStr">
        <is>
          <t>Yuzo Saito</t>
        </is>
      </c>
      <c r="C298" t="inlineStr"/>
      <c r="D298" t="inlineStr">
        <is>
          <t>12</t>
        </is>
      </c>
      <c r="E298" s="2">
        <f>HYPERLINK("https://www.britishcycling.org.uk/points?person_id=486595&amp;year=2024&amp;type=national&amp;d=6","Results")</f>
        <v/>
      </c>
    </row>
    <row r="299">
      <c r="A299" t="inlineStr">
        <is>
          <t>298</t>
        </is>
      </c>
      <c r="B299" t="inlineStr">
        <is>
          <t>Simon Burgess</t>
        </is>
      </c>
      <c r="C299" t="inlineStr">
        <is>
          <t>Bristol RC</t>
        </is>
      </c>
      <c r="D299" t="inlineStr">
        <is>
          <t>11</t>
        </is>
      </c>
      <c r="E299" s="2">
        <f>HYPERLINK("https://www.britishcycling.org.uk/points?person_id=3985&amp;year=2024&amp;type=national&amp;d=6","Results")</f>
        <v/>
      </c>
    </row>
    <row r="300">
      <c r="A300" t="inlineStr">
        <is>
          <t>299</t>
        </is>
      </c>
      <c r="B300" t="inlineStr">
        <is>
          <t>David Jennaway</t>
        </is>
      </c>
      <c r="C300" t="inlineStr"/>
      <c r="D300" t="inlineStr">
        <is>
          <t>11</t>
        </is>
      </c>
      <c r="E300" s="2">
        <f>HYPERLINK("https://www.britishcycling.org.uk/points?person_id=101067&amp;year=2024&amp;type=national&amp;d=6","Results")</f>
        <v/>
      </c>
    </row>
    <row r="301">
      <c r="A301" t="inlineStr">
        <is>
          <t>300</t>
        </is>
      </c>
      <c r="B301" t="inlineStr">
        <is>
          <t>Ian Manley</t>
        </is>
      </c>
      <c r="C301" t="inlineStr">
        <is>
          <t>St Ives CC</t>
        </is>
      </c>
      <c r="D301" t="inlineStr">
        <is>
          <t>11</t>
        </is>
      </c>
      <c r="E301" s="2">
        <f>HYPERLINK("https://www.britishcycling.org.uk/points?person_id=490725&amp;year=2024&amp;type=national&amp;d=6","Results")</f>
        <v/>
      </c>
    </row>
    <row r="302">
      <c r="A302" t="inlineStr">
        <is>
          <t>301</t>
        </is>
      </c>
      <c r="B302" t="inlineStr">
        <is>
          <t>Guy Stevens</t>
        </is>
      </c>
      <c r="C302" t="inlineStr"/>
      <c r="D302" t="inlineStr">
        <is>
          <t>11</t>
        </is>
      </c>
      <c r="E302" s="2">
        <f>HYPERLINK("https://www.britishcycling.org.uk/points?person_id=24614&amp;year=2024&amp;type=national&amp;d=6","Results")</f>
        <v/>
      </c>
    </row>
    <row r="303">
      <c r="A303" t="inlineStr">
        <is>
          <t>302</t>
        </is>
      </c>
      <c r="B303" t="inlineStr">
        <is>
          <t>Ian Bradley</t>
        </is>
      </c>
      <c r="C303" t="inlineStr">
        <is>
          <t>Ilkeston Cycle Club</t>
        </is>
      </c>
      <c r="D303" t="inlineStr">
        <is>
          <t>10</t>
        </is>
      </c>
      <c r="E303" s="2">
        <f>HYPERLINK("https://www.britishcycling.org.uk/points?person_id=125696&amp;year=2024&amp;type=national&amp;d=6","Results")</f>
        <v/>
      </c>
    </row>
    <row r="304">
      <c r="A304" t="inlineStr">
        <is>
          <t>303</t>
        </is>
      </c>
      <c r="B304" t="inlineStr">
        <is>
          <t>Adam Gardner</t>
        </is>
      </c>
      <c r="C304" t="inlineStr">
        <is>
          <t>Didcot Phoenix CC</t>
        </is>
      </c>
      <c r="D304" t="inlineStr">
        <is>
          <t>10</t>
        </is>
      </c>
      <c r="E304" s="2">
        <f>HYPERLINK("https://www.britishcycling.org.uk/points?person_id=174278&amp;year=2024&amp;type=national&amp;d=6","Results")</f>
        <v/>
      </c>
    </row>
    <row r="305">
      <c r="A305" t="inlineStr">
        <is>
          <t>304</t>
        </is>
      </c>
      <c r="B305" t="inlineStr">
        <is>
          <t>Chris Grimble</t>
        </is>
      </c>
      <c r="C305" t="inlineStr">
        <is>
          <t>Bicester Millennium CC</t>
        </is>
      </c>
      <c r="D305" t="inlineStr">
        <is>
          <t>10</t>
        </is>
      </c>
      <c r="E305" s="2">
        <f>HYPERLINK("https://www.britishcycling.org.uk/points?person_id=106077&amp;year=2024&amp;type=national&amp;d=6","Results")</f>
        <v/>
      </c>
    </row>
    <row r="306">
      <c r="A306" t="inlineStr">
        <is>
          <t>305</t>
        </is>
      </c>
      <c r="B306" t="inlineStr">
        <is>
          <t>Ralph Harris</t>
        </is>
      </c>
      <c r="C306" t="inlineStr">
        <is>
          <t>Dynamic Rides CC</t>
        </is>
      </c>
      <c r="D306" t="inlineStr">
        <is>
          <t>10</t>
        </is>
      </c>
      <c r="E306" s="2">
        <f>HYPERLINK("https://www.britishcycling.org.uk/points?person_id=1016951&amp;year=2024&amp;type=national&amp;d=6","Results")</f>
        <v/>
      </c>
    </row>
    <row r="307">
      <c r="A307" t="inlineStr">
        <is>
          <t>306</t>
        </is>
      </c>
      <c r="B307" t="inlineStr">
        <is>
          <t>Crad Lowe</t>
        </is>
      </c>
      <c r="C307" t="inlineStr"/>
      <c r="D307" t="inlineStr">
        <is>
          <t>10</t>
        </is>
      </c>
      <c r="E307" s="2">
        <f>HYPERLINK("https://www.britishcycling.org.uk/points?person_id=24514&amp;year=2024&amp;type=national&amp;d=6","Results")</f>
        <v/>
      </c>
    </row>
    <row r="308">
      <c r="A308" t="inlineStr">
        <is>
          <t>307</t>
        </is>
      </c>
      <c r="B308" t="inlineStr">
        <is>
          <t>Konrad Manning</t>
        </is>
      </c>
      <c r="C308" t="inlineStr">
        <is>
          <t>CXR</t>
        </is>
      </c>
      <c r="D308" t="inlineStr">
        <is>
          <t>10</t>
        </is>
      </c>
      <c r="E308" s="2">
        <f>HYPERLINK("https://www.britishcycling.org.uk/points?person_id=58922&amp;year=2024&amp;type=national&amp;d=6","Results")</f>
        <v/>
      </c>
    </row>
    <row r="309">
      <c r="A309" t="inlineStr">
        <is>
          <t>308</t>
        </is>
      </c>
      <c r="B309" t="inlineStr">
        <is>
          <t>Mike Warbeck</t>
        </is>
      </c>
      <c r="C309" t="inlineStr">
        <is>
          <t>Team Tor 2000 Kalas</t>
        </is>
      </c>
      <c r="D309" t="inlineStr">
        <is>
          <t>10</t>
        </is>
      </c>
      <c r="E309" s="2">
        <f>HYPERLINK("https://www.britishcycling.org.uk/points?person_id=445942&amp;year=2024&amp;type=national&amp;d=6","Results")</f>
        <v/>
      </c>
    </row>
    <row r="310">
      <c r="A310" t="inlineStr">
        <is>
          <t>309</t>
        </is>
      </c>
      <c r="B310" t="inlineStr">
        <is>
          <t>Stuart Britt</t>
        </is>
      </c>
      <c r="C310" t="inlineStr">
        <is>
          <t>Kendal Cycle Club</t>
        </is>
      </c>
      <c r="D310" t="inlineStr">
        <is>
          <t>9</t>
        </is>
      </c>
      <c r="E310" s="2">
        <f>HYPERLINK("https://www.britishcycling.org.uk/points?person_id=318583&amp;year=2024&amp;type=national&amp;d=6","Results")</f>
        <v/>
      </c>
    </row>
    <row r="311">
      <c r="A311" t="inlineStr">
        <is>
          <t>310</t>
        </is>
      </c>
      <c r="B311" t="inlineStr">
        <is>
          <t>Andrew Edmond</t>
        </is>
      </c>
      <c r="C311" t="inlineStr"/>
      <c r="D311" t="inlineStr">
        <is>
          <t>9</t>
        </is>
      </c>
      <c r="E311" s="2">
        <f>HYPERLINK("https://www.britishcycling.org.uk/points?person_id=75520&amp;year=2024&amp;type=national&amp;d=6","Results")</f>
        <v/>
      </c>
    </row>
    <row r="312">
      <c r="A312" t="inlineStr">
        <is>
          <t>311</t>
        </is>
      </c>
      <c r="B312" t="inlineStr">
        <is>
          <t>Roy Jones</t>
        </is>
      </c>
      <c r="C312" t="inlineStr">
        <is>
          <t>Velo Club Montpellier</t>
        </is>
      </c>
      <c r="D312" t="inlineStr">
        <is>
          <t>9</t>
        </is>
      </c>
      <c r="E312" s="2">
        <f>HYPERLINK("https://www.britishcycling.org.uk/points?person_id=6532&amp;year=2024&amp;type=national&amp;d=6","Results")</f>
        <v/>
      </c>
    </row>
    <row r="313">
      <c r="A313" t="inlineStr">
        <is>
          <t>312</t>
        </is>
      </c>
      <c r="B313" t="inlineStr">
        <is>
          <t>Oisin Kelly</t>
        </is>
      </c>
      <c r="C313" t="inlineStr">
        <is>
          <t>Cotswold Veldrijden</t>
        </is>
      </c>
      <c r="D313" t="inlineStr">
        <is>
          <t>9</t>
        </is>
      </c>
      <c r="E313" s="2">
        <f>HYPERLINK("https://www.britishcycling.org.uk/points?person_id=258375&amp;year=2024&amp;type=national&amp;d=6","Results")</f>
        <v/>
      </c>
    </row>
    <row r="314">
      <c r="A314" t="inlineStr">
        <is>
          <t>313</t>
        </is>
      </c>
      <c r="B314" t="inlineStr">
        <is>
          <t>Paul O'Brien</t>
        </is>
      </c>
      <c r="C314" t="inlineStr">
        <is>
          <t>Team HUP</t>
        </is>
      </c>
      <c r="D314" t="inlineStr">
        <is>
          <t>9</t>
        </is>
      </c>
      <c r="E314" s="2">
        <f>HYPERLINK("https://www.britishcycling.org.uk/points?person_id=5784&amp;year=2024&amp;type=national&amp;d=6","Results")</f>
        <v/>
      </c>
    </row>
    <row r="315">
      <c r="A315" t="inlineStr">
        <is>
          <t>314</t>
        </is>
      </c>
      <c r="B315" t="inlineStr">
        <is>
          <t>Mark Stone</t>
        </is>
      </c>
      <c r="C315" t="inlineStr"/>
      <c r="D315" t="inlineStr">
        <is>
          <t>9</t>
        </is>
      </c>
      <c r="E315" s="2">
        <f>HYPERLINK("https://www.britishcycling.org.uk/points?person_id=54115&amp;year=2024&amp;type=national&amp;d=6","Results")</f>
        <v/>
      </c>
    </row>
    <row r="316">
      <c r="A316" t="inlineStr">
        <is>
          <t>315</t>
        </is>
      </c>
      <c r="B316" t="inlineStr">
        <is>
          <t>Andy Collins</t>
        </is>
      </c>
      <c r="C316" t="inlineStr">
        <is>
          <t>Mid Shropshire Wheelers</t>
        </is>
      </c>
      <c r="D316" t="inlineStr">
        <is>
          <t>8</t>
        </is>
      </c>
      <c r="E316" s="2">
        <f>HYPERLINK("https://www.britishcycling.org.uk/points?person_id=416383&amp;year=2024&amp;type=national&amp;d=6","Results")</f>
        <v/>
      </c>
    </row>
    <row r="317">
      <c r="A317" t="inlineStr">
        <is>
          <t>316</t>
        </is>
      </c>
      <c r="B317" t="inlineStr">
        <is>
          <t>Graham Craggs</t>
        </is>
      </c>
      <c r="C317" t="inlineStr">
        <is>
          <t>Hemel Hempstead CC</t>
        </is>
      </c>
      <c r="D317" t="inlineStr">
        <is>
          <t>8</t>
        </is>
      </c>
      <c r="E317" s="2">
        <f>HYPERLINK("https://www.britishcycling.org.uk/points?person_id=217419&amp;year=2024&amp;type=national&amp;d=6","Results")</f>
        <v/>
      </c>
    </row>
    <row r="318">
      <c r="A318" t="inlineStr">
        <is>
          <t>317</t>
        </is>
      </c>
      <c r="B318" t="inlineStr">
        <is>
          <t>Giles Dumont</t>
        </is>
      </c>
      <c r="C318" t="inlineStr">
        <is>
          <t>Shibden Cycling Club</t>
        </is>
      </c>
      <c r="D318" t="inlineStr">
        <is>
          <t>8</t>
        </is>
      </c>
      <c r="E318" s="2">
        <f>HYPERLINK("https://www.britishcycling.org.uk/points?person_id=8984&amp;year=2024&amp;type=national&amp;d=6","Results")</f>
        <v/>
      </c>
    </row>
    <row r="319">
      <c r="A319" t="inlineStr">
        <is>
          <t>318</t>
        </is>
      </c>
      <c r="B319" t="inlineStr">
        <is>
          <t>Nicholas Helsing</t>
        </is>
      </c>
      <c r="C319" t="inlineStr">
        <is>
          <t>Exeter Wheelers</t>
        </is>
      </c>
      <c r="D319" t="inlineStr">
        <is>
          <t>8</t>
        </is>
      </c>
      <c r="E319" s="2">
        <f>HYPERLINK("https://www.britishcycling.org.uk/points?person_id=124493&amp;year=2024&amp;type=national&amp;d=6","Results")</f>
        <v/>
      </c>
    </row>
    <row r="320">
      <c r="A320" t="inlineStr">
        <is>
          <t>319</t>
        </is>
      </c>
      <c r="B320" t="inlineStr">
        <is>
          <t>Paul Hendy</t>
        </is>
      </c>
      <c r="C320" t="inlineStr">
        <is>
          <t>Team HUP</t>
        </is>
      </c>
      <c r="D320" t="inlineStr">
        <is>
          <t>8</t>
        </is>
      </c>
      <c r="E320" s="2">
        <f>HYPERLINK("https://www.britishcycling.org.uk/points?person_id=745769&amp;year=2024&amp;type=national&amp;d=6","Results")</f>
        <v/>
      </c>
    </row>
    <row r="321">
      <c r="A321" t="inlineStr">
        <is>
          <t>320</t>
        </is>
      </c>
      <c r="B321" t="inlineStr">
        <is>
          <t>Paul Horta-Hopkins</t>
        </is>
      </c>
      <c r="C321" t="inlineStr">
        <is>
          <t>Southborough &amp; District Whls</t>
        </is>
      </c>
      <c r="D321" t="inlineStr">
        <is>
          <t>8</t>
        </is>
      </c>
      <c r="E321" s="2">
        <f>HYPERLINK("https://www.britishcycling.org.uk/points?person_id=52182&amp;year=2024&amp;type=national&amp;d=6","Results")</f>
        <v/>
      </c>
    </row>
    <row r="322">
      <c r="A322" t="inlineStr">
        <is>
          <t>321</t>
        </is>
      </c>
      <c r="B322" t="inlineStr">
        <is>
          <t>Richard Jones</t>
        </is>
      </c>
      <c r="C322" t="inlineStr">
        <is>
          <t>Amersham Road Cycling Club</t>
        </is>
      </c>
      <c r="D322" t="inlineStr">
        <is>
          <t>8</t>
        </is>
      </c>
      <c r="E322" s="2">
        <f>HYPERLINK("https://www.britishcycling.org.uk/points?person_id=279884&amp;year=2024&amp;type=national&amp;d=6","Results")</f>
        <v/>
      </c>
    </row>
    <row r="323">
      <c r="A323" t="inlineStr">
        <is>
          <t>322</t>
        </is>
      </c>
      <c r="B323" t="inlineStr">
        <is>
          <t>Richard Marsay</t>
        </is>
      </c>
      <c r="C323" t="inlineStr">
        <is>
          <t>Darlington CC</t>
        </is>
      </c>
      <c r="D323" t="inlineStr">
        <is>
          <t>8</t>
        </is>
      </c>
      <c r="E323" s="2">
        <f>HYPERLINK("https://www.britishcycling.org.uk/points?person_id=239105&amp;year=2024&amp;type=national&amp;d=6","Results")</f>
        <v/>
      </c>
    </row>
    <row r="324">
      <c r="A324" t="inlineStr">
        <is>
          <t>323</t>
        </is>
      </c>
      <c r="B324" t="inlineStr">
        <is>
          <t>Stephen Noble</t>
        </is>
      </c>
      <c r="C324" t="inlineStr">
        <is>
          <t>North East BMX Club</t>
        </is>
      </c>
      <c r="D324" t="inlineStr">
        <is>
          <t>8</t>
        </is>
      </c>
      <c r="E324" s="2">
        <f>HYPERLINK("https://www.britishcycling.org.uk/points?person_id=16117&amp;year=2024&amp;type=national&amp;d=6","Results")</f>
        <v/>
      </c>
    </row>
    <row r="325">
      <c r="A325" t="inlineStr">
        <is>
          <t>324</t>
        </is>
      </c>
      <c r="B325" t="inlineStr">
        <is>
          <t>Paul Stockwell</t>
        </is>
      </c>
      <c r="C325" t="inlineStr"/>
      <c r="D325" t="inlineStr">
        <is>
          <t>8</t>
        </is>
      </c>
      <c r="E325" s="2">
        <f>HYPERLINK("https://www.britishcycling.org.uk/points?person_id=63882&amp;year=2024&amp;type=national&amp;d=6","Results")</f>
        <v/>
      </c>
    </row>
    <row r="326">
      <c r="A326" t="inlineStr">
        <is>
          <t>325</t>
        </is>
      </c>
      <c r="B326" t="inlineStr">
        <is>
          <t>Gordon Watson</t>
        </is>
      </c>
      <c r="C326" t="inlineStr">
        <is>
          <t>Solent Pirates</t>
        </is>
      </c>
      <c r="D326" t="inlineStr">
        <is>
          <t>8</t>
        </is>
      </c>
      <c r="E326" s="2">
        <f>HYPERLINK("https://www.britishcycling.org.uk/points?person_id=837668&amp;year=2024&amp;type=national&amp;d=6","Results")</f>
        <v/>
      </c>
    </row>
    <row r="327">
      <c r="A327" t="inlineStr">
        <is>
          <t>326</t>
        </is>
      </c>
      <c r="B327" t="inlineStr">
        <is>
          <t>Robin Wilmott</t>
        </is>
      </c>
      <c r="C327" t="inlineStr">
        <is>
          <t>Cotswold Veldrijden</t>
        </is>
      </c>
      <c r="D327" t="inlineStr">
        <is>
          <t>8</t>
        </is>
      </c>
      <c r="E327" s="2">
        <f>HYPERLINK("https://www.britishcycling.org.uk/points?person_id=29508&amp;year=2024&amp;type=national&amp;d=6","Results")</f>
        <v/>
      </c>
    </row>
    <row r="328">
      <c r="A328" t="inlineStr">
        <is>
          <t>327</t>
        </is>
      </c>
      <c r="B328" t="inlineStr">
        <is>
          <t>Nick Chilton</t>
        </is>
      </c>
      <c r="C328" t="inlineStr">
        <is>
          <t>Derby Mercury RC</t>
        </is>
      </c>
      <c r="D328" t="inlineStr">
        <is>
          <t>7</t>
        </is>
      </c>
      <c r="E328" s="2">
        <f>HYPERLINK("https://www.britishcycling.org.uk/points?person_id=194735&amp;year=2024&amp;type=national&amp;d=6","Results")</f>
        <v/>
      </c>
    </row>
    <row r="329">
      <c r="A329" t="inlineStr">
        <is>
          <t>328</t>
        </is>
      </c>
      <c r="B329" t="inlineStr">
        <is>
          <t>James Corden</t>
        </is>
      </c>
      <c r="C329" t="inlineStr"/>
      <c r="D329" t="inlineStr">
        <is>
          <t>7</t>
        </is>
      </c>
      <c r="E329" s="2">
        <f>HYPERLINK("https://www.britishcycling.org.uk/points?person_id=529496&amp;year=2024&amp;type=national&amp;d=6","Results")</f>
        <v/>
      </c>
    </row>
    <row r="330">
      <c r="A330" t="inlineStr">
        <is>
          <t>329</t>
        </is>
      </c>
      <c r="B330" t="inlineStr">
        <is>
          <t>Mark Fisher</t>
        </is>
      </c>
      <c r="C330" t="inlineStr">
        <is>
          <t>Yeovil CC</t>
        </is>
      </c>
      <c r="D330" t="inlineStr">
        <is>
          <t>7</t>
        </is>
      </c>
      <c r="E330" s="2">
        <f>HYPERLINK("https://www.britishcycling.org.uk/points?person_id=33453&amp;year=2024&amp;type=national&amp;d=6","Results")</f>
        <v/>
      </c>
    </row>
    <row r="331">
      <c r="A331" t="inlineStr">
        <is>
          <t>330</t>
        </is>
      </c>
      <c r="B331" t="inlineStr">
        <is>
          <t>Jez Hart</t>
        </is>
      </c>
      <c r="C331" t="inlineStr">
        <is>
          <t>Sotonia CC</t>
        </is>
      </c>
      <c r="D331" t="inlineStr">
        <is>
          <t>7</t>
        </is>
      </c>
      <c r="E331" s="2">
        <f>HYPERLINK("https://www.britishcycling.org.uk/points?person_id=132305&amp;year=2024&amp;type=national&amp;d=6","Results")</f>
        <v/>
      </c>
    </row>
    <row r="332">
      <c r="A332" t="inlineStr">
        <is>
          <t>331</t>
        </is>
      </c>
      <c r="B332" t="inlineStr">
        <is>
          <t>Robert Hayward</t>
        </is>
      </c>
      <c r="C332" t="inlineStr">
        <is>
          <t>Southborough &amp; District Whls</t>
        </is>
      </c>
      <c r="D332" t="inlineStr">
        <is>
          <t>7</t>
        </is>
      </c>
      <c r="E332" s="2">
        <f>HYPERLINK("https://www.britishcycling.org.uk/points?person_id=923135&amp;year=2024&amp;type=national&amp;d=6","Results")</f>
        <v/>
      </c>
    </row>
    <row r="333">
      <c r="A333" t="inlineStr">
        <is>
          <t>332</t>
        </is>
      </c>
      <c r="B333" t="inlineStr">
        <is>
          <t>Robin Myers</t>
        </is>
      </c>
      <c r="C333" t="inlineStr">
        <is>
          <t>Hamsterley Trailblazers</t>
        </is>
      </c>
      <c r="D333" t="inlineStr">
        <is>
          <t>7</t>
        </is>
      </c>
      <c r="E333" s="2">
        <f>HYPERLINK("https://www.britishcycling.org.uk/points?person_id=188647&amp;year=2024&amp;type=national&amp;d=6","Results")</f>
        <v/>
      </c>
    </row>
    <row r="334">
      <c r="A334" t="inlineStr">
        <is>
          <t>333</t>
        </is>
      </c>
      <c r="B334" t="inlineStr">
        <is>
          <t>Andrew Seltzer</t>
        </is>
      </c>
      <c r="C334" t="inlineStr">
        <is>
          <t>East Grinstead CC</t>
        </is>
      </c>
      <c r="D334" t="inlineStr">
        <is>
          <t>7</t>
        </is>
      </c>
      <c r="E334" s="2">
        <f>HYPERLINK("https://www.britishcycling.org.uk/points?person_id=63054&amp;year=2024&amp;type=national&amp;d=6","Results")</f>
        <v/>
      </c>
    </row>
    <row r="335">
      <c r="A335" t="inlineStr">
        <is>
          <t>334</t>
        </is>
      </c>
      <c r="B335" t="inlineStr">
        <is>
          <t>Clive Sharman</t>
        </is>
      </c>
      <c r="C335" t="inlineStr">
        <is>
          <t>Montvelo CC</t>
        </is>
      </c>
      <c r="D335" t="inlineStr">
        <is>
          <t>7</t>
        </is>
      </c>
      <c r="E335" s="2">
        <f>HYPERLINK("https://www.britishcycling.org.uk/points?person_id=844939&amp;year=2024&amp;type=national&amp;d=6","Results")</f>
        <v/>
      </c>
    </row>
    <row r="336">
      <c r="A336" t="inlineStr">
        <is>
          <t>335</t>
        </is>
      </c>
      <c r="B336" t="inlineStr">
        <is>
          <t>Ally Anderson</t>
        </is>
      </c>
      <c r="C336" t="inlineStr">
        <is>
          <t>dooleys cycles</t>
        </is>
      </c>
      <c r="D336" t="inlineStr">
        <is>
          <t>6</t>
        </is>
      </c>
      <c r="E336" s="2">
        <f>HYPERLINK("https://www.britishcycling.org.uk/points?person_id=129965&amp;year=2024&amp;type=national&amp;d=6","Results")</f>
        <v/>
      </c>
    </row>
    <row r="337">
      <c r="A337" t="inlineStr">
        <is>
          <t>336</t>
        </is>
      </c>
      <c r="B337" t="inlineStr">
        <is>
          <t>Alistair Duke</t>
        </is>
      </c>
      <c r="C337" t="inlineStr"/>
      <c r="D337" t="inlineStr">
        <is>
          <t>6</t>
        </is>
      </c>
      <c r="E337" s="2">
        <f>HYPERLINK("https://www.britishcycling.org.uk/points?person_id=689013&amp;year=2024&amp;type=national&amp;d=6","Results")</f>
        <v/>
      </c>
    </row>
    <row r="338">
      <c r="A338" t="inlineStr">
        <is>
          <t>337</t>
        </is>
      </c>
      <c r="B338" t="inlineStr">
        <is>
          <t>Tony Freer</t>
        </is>
      </c>
      <c r="C338" t="inlineStr">
        <is>
          <t>Cheltenham &amp; County Cycling Club</t>
        </is>
      </c>
      <c r="D338" t="inlineStr">
        <is>
          <t>6</t>
        </is>
      </c>
      <c r="E338" s="2">
        <f>HYPERLINK("https://www.britishcycling.org.uk/points?person_id=588795&amp;year=2024&amp;type=national&amp;d=6","Results")</f>
        <v/>
      </c>
    </row>
    <row r="339">
      <c r="A339" t="inlineStr">
        <is>
          <t>338</t>
        </is>
      </c>
      <c r="B339" t="inlineStr">
        <is>
          <t>Ian Kendall</t>
        </is>
      </c>
      <c r="C339" t="inlineStr">
        <is>
          <t>Liverpool Century RC</t>
        </is>
      </c>
      <c r="D339" t="inlineStr">
        <is>
          <t>6</t>
        </is>
      </c>
      <c r="E339" s="2">
        <f>HYPERLINK("https://www.britishcycling.org.uk/points?person_id=35811&amp;year=2024&amp;type=national&amp;d=6","Results")</f>
        <v/>
      </c>
    </row>
    <row r="340">
      <c r="A340" t="inlineStr">
        <is>
          <t>339</t>
        </is>
      </c>
      <c r="B340" t="inlineStr">
        <is>
          <t>Colin McCreath</t>
        </is>
      </c>
      <c r="C340" t="inlineStr">
        <is>
          <t>Perth United Cycling Club</t>
        </is>
      </c>
      <c r="D340" t="inlineStr">
        <is>
          <t>6</t>
        </is>
      </c>
      <c r="E340" s="2">
        <f>HYPERLINK("https://www.britishcycling.org.uk/points?person_id=324264&amp;year=2024&amp;type=national&amp;d=6","Results")</f>
        <v/>
      </c>
    </row>
    <row r="341">
      <c r="A341" t="inlineStr">
        <is>
          <t>340</t>
        </is>
      </c>
      <c r="B341" t="inlineStr">
        <is>
          <t>Paul McQueen</t>
        </is>
      </c>
      <c r="C341" t="inlineStr">
        <is>
          <t>Hoddom Velo</t>
        </is>
      </c>
      <c r="D341" t="inlineStr">
        <is>
          <t>6</t>
        </is>
      </c>
      <c r="E341" s="2">
        <f>HYPERLINK("https://www.britishcycling.org.uk/points?person_id=136634&amp;year=2024&amp;type=national&amp;d=6","Results")</f>
        <v/>
      </c>
    </row>
    <row r="342">
      <c r="A342" t="inlineStr">
        <is>
          <t>341</t>
        </is>
      </c>
      <c r="B342" t="inlineStr">
        <is>
          <t>Simon Moss</t>
        </is>
      </c>
      <c r="C342" t="inlineStr"/>
      <c r="D342" t="inlineStr">
        <is>
          <t>6</t>
        </is>
      </c>
      <c r="E342" s="2">
        <f>HYPERLINK("https://www.britishcycling.org.uk/points?person_id=74871&amp;year=2024&amp;type=national&amp;d=6","Results")</f>
        <v/>
      </c>
    </row>
    <row r="343">
      <c r="A343" t="inlineStr">
        <is>
          <t>342</t>
        </is>
      </c>
      <c r="B343" t="inlineStr">
        <is>
          <t>Simon Pateman</t>
        </is>
      </c>
      <c r="C343" t="inlineStr">
        <is>
          <t>www.cyclocrossrider.com</t>
        </is>
      </c>
      <c r="D343" t="inlineStr">
        <is>
          <t>6</t>
        </is>
      </c>
      <c r="E343" s="2">
        <f>HYPERLINK("https://www.britishcycling.org.uk/points?person_id=51889&amp;year=2024&amp;type=national&amp;d=6","Results")</f>
        <v/>
      </c>
    </row>
    <row r="344">
      <c r="A344" t="inlineStr">
        <is>
          <t>343</t>
        </is>
      </c>
      <c r="B344" t="inlineStr">
        <is>
          <t>Justin Price</t>
        </is>
      </c>
      <c r="C344" t="inlineStr">
        <is>
          <t>A403 Rogue</t>
        </is>
      </c>
      <c r="D344" t="inlineStr">
        <is>
          <t>6</t>
        </is>
      </c>
      <c r="E344" s="2">
        <f>HYPERLINK("https://www.britishcycling.org.uk/points?person_id=589999&amp;year=2024&amp;type=national&amp;d=6","Results")</f>
        <v/>
      </c>
    </row>
    <row r="345">
      <c r="A345" t="inlineStr">
        <is>
          <t>344</t>
        </is>
      </c>
      <c r="B345" t="inlineStr">
        <is>
          <t>Matthew Spurgin</t>
        </is>
      </c>
      <c r="C345" t="inlineStr"/>
      <c r="D345" t="inlineStr">
        <is>
          <t>6</t>
        </is>
      </c>
      <c r="E345" s="2">
        <f>HYPERLINK("https://www.britishcycling.org.uk/points?person_id=25217&amp;year=2024&amp;type=national&amp;d=6","Results")</f>
        <v/>
      </c>
    </row>
    <row r="346">
      <c r="A346" t="inlineStr">
        <is>
          <t>345</t>
        </is>
      </c>
      <c r="B346" t="inlineStr">
        <is>
          <t>Phil Blacker</t>
        </is>
      </c>
      <c r="C346" t="inlineStr">
        <is>
          <t>Team Enable MI Racing</t>
        </is>
      </c>
      <c r="D346" t="inlineStr">
        <is>
          <t>5</t>
        </is>
      </c>
      <c r="E346" s="2">
        <f>HYPERLINK("https://www.britishcycling.org.uk/points?person_id=23056&amp;year=2024&amp;type=national&amp;d=6","Results")</f>
        <v/>
      </c>
    </row>
    <row r="347">
      <c r="A347" t="inlineStr">
        <is>
          <t>346</t>
        </is>
      </c>
      <c r="B347" t="inlineStr">
        <is>
          <t>Sean Fishpool</t>
        </is>
      </c>
      <c r="C347" t="inlineStr">
        <is>
          <t>Southborough &amp; District Whls</t>
        </is>
      </c>
      <c r="D347" t="inlineStr">
        <is>
          <t>5</t>
        </is>
      </c>
      <c r="E347" s="2">
        <f>HYPERLINK("https://www.britishcycling.org.uk/points?person_id=839262&amp;year=2024&amp;type=national&amp;d=6","Results")</f>
        <v/>
      </c>
    </row>
    <row r="348">
      <c r="A348" t="inlineStr">
        <is>
          <t>347</t>
        </is>
      </c>
      <c r="B348" t="inlineStr">
        <is>
          <t>Andy Hurst</t>
        </is>
      </c>
      <c r="C348" t="inlineStr">
        <is>
          <t>Schils -  Doltcini Racing Team</t>
        </is>
      </c>
      <c r="D348" t="inlineStr">
        <is>
          <t>5</t>
        </is>
      </c>
      <c r="E348" s="2">
        <f>HYPERLINK("https://www.britishcycling.org.uk/points?person_id=185655&amp;year=2024&amp;type=national&amp;d=6","Results")</f>
        <v/>
      </c>
    </row>
    <row r="349">
      <c r="A349" t="inlineStr">
        <is>
          <t>348</t>
        </is>
      </c>
      <c r="B349" t="inlineStr">
        <is>
          <t>Richard Perham</t>
        </is>
      </c>
      <c r="C349" t="inlineStr">
        <is>
          <t>Team Enable MI Racing</t>
        </is>
      </c>
      <c r="D349" t="inlineStr">
        <is>
          <t>5</t>
        </is>
      </c>
      <c r="E349" s="2">
        <f>HYPERLINK("https://www.britishcycling.org.uk/points?person_id=644646&amp;year=2024&amp;type=national&amp;d=6","Results")</f>
        <v/>
      </c>
    </row>
    <row r="350">
      <c r="A350" t="inlineStr">
        <is>
          <t>349</t>
        </is>
      </c>
      <c r="B350" t="inlineStr">
        <is>
          <t>Sean Quarmby</t>
        </is>
      </c>
      <c r="C350" t="inlineStr">
        <is>
          <t>Norwich Racing Team</t>
        </is>
      </c>
      <c r="D350" t="inlineStr">
        <is>
          <t>5</t>
        </is>
      </c>
      <c r="E350" s="2">
        <f>HYPERLINK("https://www.britishcycling.org.uk/points?person_id=195808&amp;year=2024&amp;type=national&amp;d=6","Results")</f>
        <v/>
      </c>
    </row>
    <row r="351">
      <c r="A351" t="inlineStr">
        <is>
          <t>350</t>
        </is>
      </c>
      <c r="B351" t="inlineStr">
        <is>
          <t>James Tate</t>
        </is>
      </c>
      <c r="C351" t="inlineStr"/>
      <c r="D351" t="inlineStr">
        <is>
          <t>5</t>
        </is>
      </c>
      <c r="E351" s="2">
        <f>HYPERLINK("https://www.britishcycling.org.uk/points?person_id=1157841&amp;year=2024&amp;type=national&amp;d=6","Results")</f>
        <v/>
      </c>
    </row>
    <row r="352">
      <c r="A352" t="inlineStr">
        <is>
          <t>351</t>
        </is>
      </c>
      <c r="B352" t="inlineStr">
        <is>
          <t>James Cormie</t>
        </is>
      </c>
      <c r="C352" t="inlineStr">
        <is>
          <t>Team Senza Limiti</t>
        </is>
      </c>
      <c r="D352" t="inlineStr">
        <is>
          <t>4</t>
        </is>
      </c>
      <c r="E352" s="2">
        <f>HYPERLINK("https://www.britishcycling.org.uk/points?person_id=450053&amp;year=2024&amp;type=national&amp;d=6","Results")</f>
        <v/>
      </c>
    </row>
    <row r="353">
      <c r="A353" t="inlineStr">
        <is>
          <t>352</t>
        </is>
      </c>
      <c r="B353" t="inlineStr">
        <is>
          <t>Daniel Di Principe</t>
        </is>
      </c>
      <c r="C353" t="inlineStr">
        <is>
          <t>Kingston Wheelers CC</t>
        </is>
      </c>
      <c r="D353" t="inlineStr">
        <is>
          <t>4</t>
        </is>
      </c>
      <c r="E353" s="2">
        <f>HYPERLINK("https://www.britishcycling.org.uk/points?person_id=188192&amp;year=2024&amp;type=national&amp;d=6","Results")</f>
        <v/>
      </c>
    </row>
    <row r="354">
      <c r="A354" t="inlineStr">
        <is>
          <t>353</t>
        </is>
      </c>
      <c r="B354" t="inlineStr">
        <is>
          <t>Julian Howell</t>
        </is>
      </c>
      <c r="C354" t="inlineStr">
        <is>
          <t>Gala Cycling Club</t>
        </is>
      </c>
      <c r="D354" t="inlineStr">
        <is>
          <t>4</t>
        </is>
      </c>
      <c r="E354" s="2">
        <f>HYPERLINK("https://www.britishcycling.org.uk/points?person_id=498930&amp;year=2024&amp;type=national&amp;d=6","Results")</f>
        <v/>
      </c>
    </row>
    <row r="355">
      <c r="A355" t="inlineStr">
        <is>
          <t>354</t>
        </is>
      </c>
      <c r="B355" t="inlineStr">
        <is>
          <t>Izaak Hudson</t>
        </is>
      </c>
      <c r="C355" t="inlineStr">
        <is>
          <t>Bristol Cycling Development Squad</t>
        </is>
      </c>
      <c r="D355" t="inlineStr">
        <is>
          <t>4</t>
        </is>
      </c>
      <c r="E355" s="2">
        <f>HYPERLINK("https://www.britishcycling.org.uk/points?person_id=46234&amp;year=2024&amp;type=national&amp;d=6","Results")</f>
        <v/>
      </c>
    </row>
    <row r="356">
      <c r="A356" t="inlineStr">
        <is>
          <t>355</t>
        </is>
      </c>
      <c r="B356" t="inlineStr">
        <is>
          <t>Martin Jeffery</t>
        </is>
      </c>
      <c r="C356" t="inlineStr">
        <is>
          <t>North Hampshire RC</t>
        </is>
      </c>
      <c r="D356" t="inlineStr">
        <is>
          <t>4</t>
        </is>
      </c>
      <c r="E356" s="2">
        <f>HYPERLINK("https://www.britishcycling.org.uk/points?person_id=423597&amp;year=2024&amp;type=national&amp;d=6","Results")</f>
        <v/>
      </c>
    </row>
    <row r="357">
      <c r="A357" t="inlineStr">
        <is>
          <t>356</t>
        </is>
      </c>
      <c r="B357" t="inlineStr">
        <is>
          <t>Nicholas Kershaw</t>
        </is>
      </c>
      <c r="C357" t="inlineStr">
        <is>
          <t>Welland Valley CC</t>
        </is>
      </c>
      <c r="D357" t="inlineStr">
        <is>
          <t>4</t>
        </is>
      </c>
      <c r="E357" s="2">
        <f>HYPERLINK("https://www.britishcycling.org.uk/points?person_id=18653&amp;year=2024&amp;type=national&amp;d=6","Results")</f>
        <v/>
      </c>
    </row>
    <row r="358">
      <c r="A358" t="inlineStr">
        <is>
          <t>357</t>
        </is>
      </c>
      <c r="B358" t="inlineStr">
        <is>
          <t>Alan McCaffrey</t>
        </is>
      </c>
      <c r="C358" t="inlineStr">
        <is>
          <t>Moray Firth Cycling Club</t>
        </is>
      </c>
      <c r="D358" t="inlineStr">
        <is>
          <t>4</t>
        </is>
      </c>
      <c r="E358" s="2">
        <f>HYPERLINK("https://www.britishcycling.org.uk/points?person_id=42231&amp;year=2024&amp;type=national&amp;d=6","Results")</f>
        <v/>
      </c>
    </row>
    <row r="359">
      <c r="A359" t="inlineStr">
        <is>
          <t>358</t>
        </is>
      </c>
      <c r="B359" t="inlineStr">
        <is>
          <t>Lee Brown</t>
        </is>
      </c>
      <c r="C359" t="inlineStr">
        <is>
          <t>Trek Sheffield Fox Valley</t>
        </is>
      </c>
      <c r="D359" t="inlineStr">
        <is>
          <t>3</t>
        </is>
      </c>
      <c r="E359" s="2">
        <f>HYPERLINK("https://www.britishcycling.org.uk/points?person_id=12070&amp;year=2024&amp;type=national&amp;d=6","Results")</f>
        <v/>
      </c>
    </row>
    <row r="360">
      <c r="A360" t="inlineStr">
        <is>
          <t>359</t>
        </is>
      </c>
      <c r="B360" t="inlineStr">
        <is>
          <t>Stephen Crawford</t>
        </is>
      </c>
      <c r="C360" t="inlineStr">
        <is>
          <t>Dunfermline CC</t>
        </is>
      </c>
      <c r="D360" t="inlineStr">
        <is>
          <t>3</t>
        </is>
      </c>
      <c r="E360" s="2">
        <f>HYPERLINK("https://www.britishcycling.org.uk/points?person_id=439944&amp;year=2024&amp;type=national&amp;d=6","Results")</f>
        <v/>
      </c>
    </row>
    <row r="361">
      <c r="A361" t="inlineStr">
        <is>
          <t>360</t>
        </is>
      </c>
      <c r="B361" t="inlineStr">
        <is>
          <t>John Dixon</t>
        </is>
      </c>
      <c r="C361" t="inlineStr">
        <is>
          <t>Bolsover &amp; District Cycling Club</t>
        </is>
      </c>
      <c r="D361" t="inlineStr">
        <is>
          <t>3</t>
        </is>
      </c>
      <c r="E361" s="2">
        <f>HYPERLINK("https://www.britishcycling.org.uk/points?person_id=542638&amp;year=2024&amp;type=national&amp;d=6","Results")</f>
        <v/>
      </c>
    </row>
    <row r="362">
      <c r="A362" t="inlineStr">
        <is>
          <t>361</t>
        </is>
      </c>
      <c r="B362" t="inlineStr">
        <is>
          <t>Joseph Heywood</t>
        </is>
      </c>
      <c r="C362" t="inlineStr">
        <is>
          <t>Horwich CC</t>
        </is>
      </c>
      <c r="D362" t="inlineStr">
        <is>
          <t>3</t>
        </is>
      </c>
      <c r="E362" s="2">
        <f>HYPERLINK("https://www.britishcycling.org.uk/points?person_id=73634&amp;year=2024&amp;type=national&amp;d=6","Results")</f>
        <v/>
      </c>
    </row>
    <row r="363">
      <c r="A363" t="inlineStr">
        <is>
          <t>362</t>
        </is>
      </c>
      <c r="B363" t="inlineStr">
        <is>
          <t>Finian O'Donnell</t>
        </is>
      </c>
      <c r="C363" t="inlineStr">
        <is>
          <t>Truro Cycling Club</t>
        </is>
      </c>
      <c r="D363" t="inlineStr">
        <is>
          <t>3</t>
        </is>
      </c>
      <c r="E363" s="2">
        <f>HYPERLINK("https://www.britishcycling.org.uk/points?person_id=989078&amp;year=2024&amp;type=national&amp;d=6","Results")</f>
        <v/>
      </c>
    </row>
    <row r="364">
      <c r="A364" t="inlineStr">
        <is>
          <t>363</t>
        </is>
      </c>
      <c r="B364" t="inlineStr">
        <is>
          <t>David Rutty</t>
        </is>
      </c>
      <c r="C364" t="inlineStr">
        <is>
          <t>Velo Club Bristol</t>
        </is>
      </c>
      <c r="D364" t="inlineStr">
        <is>
          <t>3</t>
        </is>
      </c>
      <c r="E364" s="2">
        <f>HYPERLINK("https://www.britishcycling.org.uk/points?person_id=47839&amp;year=2024&amp;type=national&amp;d=6","Results")</f>
        <v/>
      </c>
    </row>
    <row r="365">
      <c r="A365" t="inlineStr">
        <is>
          <t>364</t>
        </is>
      </c>
      <c r="B365" t="inlineStr">
        <is>
          <t>Jamie Shearer</t>
        </is>
      </c>
      <c r="C365" t="inlineStr">
        <is>
          <t>Andover Whls</t>
        </is>
      </c>
      <c r="D365" t="inlineStr">
        <is>
          <t>3</t>
        </is>
      </c>
      <c r="E365" s="2">
        <f>HYPERLINK("https://www.britishcycling.org.uk/points?person_id=7129&amp;year=2024&amp;type=national&amp;d=6","Results")</f>
        <v/>
      </c>
    </row>
    <row r="366">
      <c r="A366" t="inlineStr">
        <is>
          <t>365</t>
        </is>
      </c>
      <c r="B366" t="inlineStr">
        <is>
          <t>Daniel Smith</t>
        </is>
      </c>
      <c r="C366" t="inlineStr">
        <is>
          <t>The Ark Cycles</t>
        </is>
      </c>
      <c r="D366" t="inlineStr">
        <is>
          <t>3</t>
        </is>
      </c>
      <c r="E366" s="2">
        <f>HYPERLINK("https://www.britishcycling.org.uk/points?person_id=42192&amp;year=2024&amp;type=national&amp;d=6","Results")</f>
        <v/>
      </c>
    </row>
    <row r="367">
      <c r="A367" t="inlineStr">
        <is>
          <t>366</t>
        </is>
      </c>
      <c r="B367" t="inlineStr">
        <is>
          <t>Lee Sturman</t>
        </is>
      </c>
      <c r="C367" t="inlineStr">
        <is>
          <t>West Suffolk Wheelers</t>
        </is>
      </c>
      <c r="D367" t="inlineStr">
        <is>
          <t>3</t>
        </is>
      </c>
      <c r="E367" s="2">
        <f>HYPERLINK("https://www.britishcycling.org.uk/points?person_id=33732&amp;year=2024&amp;type=national&amp;d=6","Results")</f>
        <v/>
      </c>
    </row>
    <row r="368">
      <c r="A368" t="inlineStr">
        <is>
          <t>367</t>
        </is>
      </c>
      <c r="B368" t="inlineStr">
        <is>
          <t>Paul Whitbread</t>
        </is>
      </c>
      <c r="C368" t="inlineStr">
        <is>
          <t>Newbury RC</t>
        </is>
      </c>
      <c r="D368" t="inlineStr">
        <is>
          <t>3</t>
        </is>
      </c>
      <c r="E368" s="2">
        <f>HYPERLINK("https://www.britishcycling.org.uk/points?person_id=1017439&amp;year=2024&amp;type=national&amp;d=6","Results")</f>
        <v/>
      </c>
    </row>
    <row r="369">
      <c r="A369" t="inlineStr">
        <is>
          <t>368</t>
        </is>
      </c>
      <c r="B369" t="inlineStr">
        <is>
          <t>Lee Barr</t>
        </is>
      </c>
      <c r="C369" t="inlineStr">
        <is>
          <t>Kernow Racing Team</t>
        </is>
      </c>
      <c r="D369" t="inlineStr">
        <is>
          <t>2</t>
        </is>
      </c>
      <c r="E369" s="2">
        <f>HYPERLINK("https://www.britishcycling.org.uk/points?person_id=184554&amp;year=2024&amp;type=national&amp;d=6","Results")</f>
        <v/>
      </c>
    </row>
    <row r="370">
      <c r="A370" t="inlineStr">
        <is>
          <t>369</t>
        </is>
      </c>
      <c r="B370" t="inlineStr">
        <is>
          <t>Chris Barratt</t>
        </is>
      </c>
      <c r="C370" t="inlineStr">
        <is>
          <t>Rockingham Forest Whls</t>
        </is>
      </c>
      <c r="D370" t="inlineStr">
        <is>
          <t>2</t>
        </is>
      </c>
      <c r="E370" s="2">
        <f>HYPERLINK("https://www.britishcycling.org.uk/points?person_id=405247&amp;year=2024&amp;type=national&amp;d=6","Results")</f>
        <v/>
      </c>
    </row>
    <row r="371">
      <c r="A371" t="inlineStr">
        <is>
          <t>370</t>
        </is>
      </c>
      <c r="B371" t="inlineStr">
        <is>
          <t>Garry Bolton</t>
        </is>
      </c>
      <c r="C371" t="inlineStr">
        <is>
          <t>Wolverhampton Wheelers</t>
        </is>
      </c>
      <c r="D371" t="inlineStr">
        <is>
          <t>2</t>
        </is>
      </c>
      <c r="E371" s="2">
        <f>HYPERLINK("https://www.britishcycling.org.uk/points?person_id=100414&amp;year=2024&amp;type=national&amp;d=6","Results")</f>
        <v/>
      </c>
    </row>
    <row r="372">
      <c r="A372" t="inlineStr">
        <is>
          <t>371</t>
        </is>
      </c>
      <c r="B372" t="inlineStr">
        <is>
          <t>Adam Chambers</t>
        </is>
      </c>
      <c r="C372" t="inlineStr">
        <is>
          <t>Verulam CC</t>
        </is>
      </c>
      <c r="D372" t="inlineStr">
        <is>
          <t>2</t>
        </is>
      </c>
      <c r="E372" s="2">
        <f>HYPERLINK("https://www.britishcycling.org.uk/points?person_id=247287&amp;year=2024&amp;type=national&amp;d=6","Results")</f>
        <v/>
      </c>
    </row>
    <row r="373">
      <c r="A373" t="inlineStr">
        <is>
          <t>372</t>
        </is>
      </c>
      <c r="B373" t="inlineStr">
        <is>
          <t>Andrew Cook</t>
        </is>
      </c>
      <c r="C373" t="inlineStr">
        <is>
          <t>Trek Sheffield Fox Valley</t>
        </is>
      </c>
      <c r="D373" t="inlineStr">
        <is>
          <t>2</t>
        </is>
      </c>
      <c r="E373" s="2">
        <f>HYPERLINK("https://www.britishcycling.org.uk/points?person_id=51276&amp;year=2024&amp;type=national&amp;d=6","Results")</f>
        <v/>
      </c>
    </row>
    <row r="374">
      <c r="A374" t="inlineStr">
        <is>
          <t>373</t>
        </is>
      </c>
      <c r="B374" t="inlineStr">
        <is>
          <t>Barry Harvey</t>
        </is>
      </c>
      <c r="C374" t="inlineStr">
        <is>
          <t>Blazing Saddles RT</t>
        </is>
      </c>
      <c r="D374" t="inlineStr">
        <is>
          <t>2</t>
        </is>
      </c>
      <c r="E374" s="2">
        <f>HYPERLINK("https://www.britishcycling.org.uk/points?person_id=52512&amp;year=2024&amp;type=national&amp;d=6","Results")</f>
        <v/>
      </c>
    </row>
    <row r="375">
      <c r="A375" t="inlineStr">
        <is>
          <t>374</t>
        </is>
      </c>
      <c r="B375" t="inlineStr">
        <is>
          <t>Clive Heard</t>
        </is>
      </c>
      <c r="C375" t="inlineStr">
        <is>
          <t>Axe Valley Pedallers</t>
        </is>
      </c>
      <c r="D375" t="inlineStr">
        <is>
          <t>2</t>
        </is>
      </c>
      <c r="E375" s="2">
        <f>HYPERLINK("https://www.britishcycling.org.uk/points?person_id=132172&amp;year=2024&amp;type=national&amp;d=6","Results")</f>
        <v/>
      </c>
    </row>
    <row r="376">
      <c r="A376" t="inlineStr">
        <is>
          <t>375</t>
        </is>
      </c>
      <c r="B376" t="inlineStr">
        <is>
          <t>Stephen King</t>
        </is>
      </c>
      <c r="C376" t="inlineStr">
        <is>
          <t>Stowmarket &amp; District CC</t>
        </is>
      </c>
      <c r="D376" t="inlineStr">
        <is>
          <t>2</t>
        </is>
      </c>
      <c r="E376" s="2">
        <f>HYPERLINK("https://www.britishcycling.org.uk/points?person_id=401795&amp;year=2024&amp;type=national&amp;d=6","Results")</f>
        <v/>
      </c>
    </row>
    <row r="377">
      <c r="A377" t="inlineStr">
        <is>
          <t>376</t>
        </is>
      </c>
      <c r="B377" t="inlineStr">
        <is>
          <t>George Roberts</t>
        </is>
      </c>
      <c r="C377" t="inlineStr">
        <is>
          <t>VC Glasgow South</t>
        </is>
      </c>
      <c r="D377" t="inlineStr">
        <is>
          <t>2</t>
        </is>
      </c>
      <c r="E377" s="2">
        <f>HYPERLINK("https://www.britishcycling.org.uk/points?person_id=105111&amp;year=2024&amp;type=national&amp;d=6","Results")</f>
        <v/>
      </c>
    </row>
    <row r="378">
      <c r="A378" t="inlineStr">
        <is>
          <t>377</t>
        </is>
      </c>
      <c r="B378" t="inlineStr">
        <is>
          <t>Martin Smith</t>
        </is>
      </c>
      <c r="C378" t="inlineStr">
        <is>
          <t>Mid Devon CC</t>
        </is>
      </c>
      <c r="D378" t="inlineStr">
        <is>
          <t>2</t>
        </is>
      </c>
      <c r="E378" s="2">
        <f>HYPERLINK("https://www.britishcycling.org.uk/points?person_id=280455&amp;year=2024&amp;type=national&amp;d=6","Results")</f>
        <v/>
      </c>
    </row>
    <row r="379">
      <c r="A379" t="inlineStr">
        <is>
          <t>378</t>
        </is>
      </c>
      <c r="B379" t="inlineStr">
        <is>
          <t>Paul Champness</t>
        </is>
      </c>
      <c r="C379" t="inlineStr">
        <is>
          <t>Hadleigh MTB Club</t>
        </is>
      </c>
      <c r="D379" t="inlineStr">
        <is>
          <t>1</t>
        </is>
      </c>
      <c r="E379" s="2">
        <f>HYPERLINK("https://www.britishcycling.org.uk/points?person_id=6128&amp;year=2024&amp;type=national&amp;d=6","Results")</f>
        <v/>
      </c>
    </row>
    <row r="380">
      <c r="A380" t="inlineStr">
        <is>
          <t>379</t>
        </is>
      </c>
      <c r="B380" t="inlineStr">
        <is>
          <t>Joseph Colella</t>
        </is>
      </c>
      <c r="C380" t="inlineStr">
        <is>
          <t>North Hampshire RC</t>
        </is>
      </c>
      <c r="D380" t="inlineStr">
        <is>
          <t>1</t>
        </is>
      </c>
      <c r="E380" s="2">
        <f>HYPERLINK("https://www.britishcycling.org.uk/points?person_id=422672&amp;year=2024&amp;type=national&amp;d=6","Results")</f>
        <v/>
      </c>
    </row>
    <row r="381">
      <c r="A381" t="inlineStr">
        <is>
          <t>380</t>
        </is>
      </c>
      <c r="B381" t="inlineStr">
        <is>
          <t>Alexander Craig</t>
        </is>
      </c>
      <c r="C381" t="inlineStr">
        <is>
          <t>Royal Leamington Spa CC (RLSCC)</t>
        </is>
      </c>
      <c r="D381" t="inlineStr">
        <is>
          <t>1</t>
        </is>
      </c>
      <c r="E381" s="2">
        <f>HYPERLINK("https://www.britishcycling.org.uk/points?person_id=760379&amp;year=2024&amp;type=national&amp;d=6","Results")</f>
        <v/>
      </c>
    </row>
    <row r="382">
      <c r="A382" t="inlineStr">
        <is>
          <t>381</t>
        </is>
      </c>
      <c r="B382" t="inlineStr">
        <is>
          <t>Ashley Dunn</t>
        </is>
      </c>
      <c r="C382" t="inlineStr">
        <is>
          <t>Velo Club Bristol</t>
        </is>
      </c>
      <c r="D382" t="inlineStr">
        <is>
          <t>1</t>
        </is>
      </c>
      <c r="E382" s="2">
        <f>HYPERLINK("https://www.britishcycling.org.uk/points?person_id=599616&amp;year=2024&amp;type=national&amp;d=6","Results")</f>
        <v/>
      </c>
    </row>
    <row r="383">
      <c r="A383" t="inlineStr">
        <is>
          <t>382</t>
        </is>
      </c>
      <c r="B383" t="inlineStr">
        <is>
          <t>David Fong</t>
        </is>
      </c>
      <c r="C383" t="inlineStr"/>
      <c r="D383" t="inlineStr">
        <is>
          <t>1</t>
        </is>
      </c>
      <c r="E383" s="2">
        <f>HYPERLINK("https://www.britishcycling.org.uk/points?person_id=32041&amp;year=2024&amp;type=national&amp;d=6","Results")</f>
        <v/>
      </c>
    </row>
    <row r="384">
      <c r="A384" t="inlineStr">
        <is>
          <t>383</t>
        </is>
      </c>
      <c r="B384" t="inlineStr">
        <is>
          <t>Gordon McKinnon</t>
        </is>
      </c>
      <c r="C384" t="inlineStr">
        <is>
          <t>Braishfield CC</t>
        </is>
      </c>
      <c r="D384" t="inlineStr">
        <is>
          <t>1</t>
        </is>
      </c>
      <c r="E384" s="2">
        <f>HYPERLINK("https://www.britishcycling.org.uk/points?person_id=288220&amp;year=2024&amp;type=national&amp;d=6","Results")</f>
        <v/>
      </c>
    </row>
    <row r="385">
      <c r="A385" t="inlineStr">
        <is>
          <t>384</t>
        </is>
      </c>
      <c r="B385" t="inlineStr">
        <is>
          <t>Dean Painter</t>
        </is>
      </c>
      <c r="C385" t="inlineStr"/>
      <c r="D385" t="inlineStr">
        <is>
          <t>1</t>
        </is>
      </c>
      <c r="E385" s="2">
        <f>HYPERLINK("https://www.britishcycling.org.uk/points?person_id=179036&amp;year=2024&amp;type=national&amp;d=6","Results")</f>
        <v/>
      </c>
    </row>
    <row r="386">
      <c r="A386" t="inlineStr">
        <is>
          <t>385</t>
        </is>
      </c>
      <c r="B386" t="inlineStr">
        <is>
          <t>Calvin Price</t>
        </is>
      </c>
      <c r="C386" t="inlineStr">
        <is>
          <t>Dunfermline CC</t>
        </is>
      </c>
      <c r="D386" t="inlineStr">
        <is>
          <t>1</t>
        </is>
      </c>
      <c r="E386" s="2">
        <f>HYPERLINK("https://www.britishcycling.org.uk/points?person_id=107515&amp;year=2024&amp;type=national&amp;d=6","Results")</f>
        <v/>
      </c>
    </row>
    <row r="387">
      <c r="A387" t="inlineStr">
        <is>
          <t>386</t>
        </is>
      </c>
      <c r="B387" t="inlineStr">
        <is>
          <t>Duncan Tippins</t>
        </is>
      </c>
      <c r="C387" t="inlineStr">
        <is>
          <t>Wigmore CC</t>
        </is>
      </c>
      <c r="D387" t="inlineStr">
        <is>
          <t>1</t>
        </is>
      </c>
      <c r="E387" s="2">
        <f>HYPERLINK("https://www.britishcycling.org.uk/points?person_id=1037851&amp;year=2024&amp;type=national&amp;d=6","Results")</f>
        <v/>
      </c>
    </row>
    <row r="388">
      <c r="A388" t="inlineStr">
        <is>
          <t>387</t>
        </is>
      </c>
      <c r="B388" t="inlineStr">
        <is>
          <t>Mark Whenham</t>
        </is>
      </c>
      <c r="C388" t="inlineStr">
        <is>
          <t>Beds Road Race Team</t>
        </is>
      </c>
      <c r="D388" t="inlineStr">
        <is>
          <t>1</t>
        </is>
      </c>
      <c r="E388" s="2">
        <f>HYPERLINK("https://www.britishcycling.org.uk/points?person_id=442478&amp;year=2024&amp;type=national&amp;d=6","Results")</f>
        <v/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F224"/>
  <sheetViews>
    <sheetView workbookViewId="0">
      <selection activeCell="A1" sqref="A1"/>
    </sheetView>
  </sheetViews>
  <sheetFormatPr baseColWidth="8" defaultRowHeight="15"/>
  <cols>
    <col width="8" customWidth="1" min="1" max="1"/>
    <col width="25" customWidth="1" min="2" max="2"/>
    <col width="50" customWidth="1" min="3" max="3"/>
    <col width="7" customWidth="1" min="4" max="4"/>
    <col width="20" customWidth="1" min="5" max="5"/>
  </cols>
  <sheetData>
    <row r="1">
      <c r="A1" s="1" t="inlineStr">
        <is>
          <t>Ranking</t>
        </is>
      </c>
      <c r="B1" s="1" t="inlineStr">
        <is>
          <t>Name</t>
        </is>
      </c>
      <c r="C1" s="1" t="inlineStr">
        <is>
          <t>Club/Team</t>
        </is>
      </c>
      <c r="D1" s="1" t="inlineStr">
        <is>
          <t>Points</t>
        </is>
      </c>
      <c r="E1" s="1" t="inlineStr">
        <is>
          <t>Detail (click)</t>
        </is>
      </c>
      <c r="F1" s="1" t="inlineStr">
        <is>
          <t>Updated: 2024-12-20</t>
        </is>
      </c>
    </row>
    <row r="2">
      <c r="A2" t="inlineStr">
        <is>
          <t>1</t>
        </is>
      </c>
      <c r="B2" t="inlineStr">
        <is>
          <t>John Elwell</t>
        </is>
      </c>
      <c r="C2" t="inlineStr">
        <is>
          <t>www.Zepnat.com RT - Lazer Helmets</t>
        </is>
      </c>
      <c r="D2" t="inlineStr">
        <is>
          <t>636</t>
        </is>
      </c>
      <c r="E2" s="2">
        <f>HYPERLINK("https://www.britishcycling.org.uk/points?person_id=239117&amp;year=2024&amp;type=national&amp;d=6","Results")</f>
        <v/>
      </c>
    </row>
    <row r="3">
      <c r="A3" t="inlineStr">
        <is>
          <t>2</t>
        </is>
      </c>
      <c r="B3" t="inlineStr">
        <is>
          <t>Michael Davies</t>
        </is>
      </c>
      <c r="C3" t="inlineStr">
        <is>
          <t>Pedal Power Loughborough</t>
        </is>
      </c>
      <c r="D3" t="inlineStr">
        <is>
          <t>522</t>
        </is>
      </c>
      <c r="E3" s="2">
        <f>HYPERLINK("https://www.britishcycling.org.uk/points?person_id=1814&amp;year=2024&amp;type=national&amp;d=6","Results")</f>
        <v/>
      </c>
    </row>
    <row r="4">
      <c r="A4" t="inlineStr">
        <is>
          <t>3</t>
        </is>
      </c>
      <c r="B4" t="inlineStr">
        <is>
          <t>Grant Johnson</t>
        </is>
      </c>
      <c r="C4" t="inlineStr"/>
      <c r="D4" t="inlineStr">
        <is>
          <t>476</t>
        </is>
      </c>
      <c r="E4" s="2">
        <f>HYPERLINK("https://www.britishcycling.org.uk/points?person_id=184707&amp;year=2024&amp;type=national&amp;d=6","Results")</f>
        <v/>
      </c>
    </row>
    <row r="5">
      <c r="A5" t="inlineStr">
        <is>
          <t>4</t>
        </is>
      </c>
      <c r="B5" t="inlineStr">
        <is>
          <t>John McGrath</t>
        </is>
      </c>
      <c r="C5" t="inlineStr">
        <is>
          <t>Team TMC - Strada Wheels</t>
        </is>
      </c>
      <c r="D5" t="inlineStr">
        <is>
          <t>456</t>
        </is>
      </c>
      <c r="E5" s="2">
        <f>HYPERLINK("https://www.britishcycling.org.uk/points?person_id=228740&amp;year=2024&amp;type=national&amp;d=6","Results")</f>
        <v/>
      </c>
    </row>
    <row r="6">
      <c r="A6" t="inlineStr">
        <is>
          <t>5</t>
        </is>
      </c>
      <c r="B6" t="inlineStr">
        <is>
          <t>Anthony Matthews</t>
        </is>
      </c>
      <c r="C6" t="inlineStr">
        <is>
          <t>Paul Milnes - Bradford Olympic RC</t>
        </is>
      </c>
      <c r="D6" t="inlineStr">
        <is>
          <t>426</t>
        </is>
      </c>
      <c r="E6" s="2">
        <f>HYPERLINK("https://www.britishcycling.org.uk/points?person_id=630429&amp;year=2024&amp;type=national&amp;d=6","Results")</f>
        <v/>
      </c>
    </row>
    <row r="7">
      <c r="A7" t="inlineStr">
        <is>
          <t>6</t>
        </is>
      </c>
      <c r="B7" t="inlineStr">
        <is>
          <t>Paul Caton</t>
        </is>
      </c>
      <c r="C7" t="inlineStr">
        <is>
          <t>Verulam - reallymoving.com</t>
        </is>
      </c>
      <c r="D7" t="inlineStr">
        <is>
          <t>420</t>
        </is>
      </c>
      <c r="E7" s="2">
        <f>HYPERLINK("https://www.britishcycling.org.uk/points?person_id=60973&amp;year=2024&amp;type=national&amp;d=6","Results")</f>
        <v/>
      </c>
    </row>
    <row r="8">
      <c r="A8" t="inlineStr">
        <is>
          <t>7</t>
        </is>
      </c>
      <c r="B8" t="inlineStr">
        <is>
          <t>Jimmy Bringlow</t>
        </is>
      </c>
      <c r="C8" t="inlineStr">
        <is>
          <t>London Dynamo</t>
        </is>
      </c>
      <c r="D8" t="inlineStr">
        <is>
          <t>380</t>
        </is>
      </c>
      <c r="E8" s="2">
        <f>HYPERLINK("https://www.britishcycling.org.uk/points?person_id=737995&amp;year=2024&amp;type=national&amp;d=6","Results")</f>
        <v/>
      </c>
    </row>
    <row r="9">
      <c r="A9" t="inlineStr">
        <is>
          <t>8</t>
        </is>
      </c>
      <c r="B9" t="inlineStr">
        <is>
          <t>Tim Costello</t>
        </is>
      </c>
      <c r="C9" t="inlineStr">
        <is>
          <t>GS Vecchi</t>
        </is>
      </c>
      <c r="D9" t="inlineStr">
        <is>
          <t>364</t>
        </is>
      </c>
      <c r="E9" s="2">
        <f>HYPERLINK("https://www.britishcycling.org.uk/points?person_id=12047&amp;year=2024&amp;type=national&amp;d=6","Results")</f>
        <v/>
      </c>
    </row>
    <row r="10">
      <c r="A10" t="inlineStr">
        <is>
          <t>9</t>
        </is>
      </c>
      <c r="B10" t="inlineStr">
        <is>
          <t>Jan Kardasz</t>
        </is>
      </c>
      <c r="C10" t="inlineStr">
        <is>
          <t>Fibrax Fenwick's Wrexham C C</t>
        </is>
      </c>
      <c r="D10" t="inlineStr">
        <is>
          <t>364</t>
        </is>
      </c>
      <c r="E10" s="2">
        <f>HYPERLINK("https://www.britishcycling.org.uk/points?person_id=176276&amp;year=2024&amp;type=national&amp;d=6","Results")</f>
        <v/>
      </c>
    </row>
    <row r="11">
      <c r="A11" t="inlineStr">
        <is>
          <t>10</t>
        </is>
      </c>
      <c r="B11" t="inlineStr">
        <is>
          <t>Mick Style</t>
        </is>
      </c>
      <c r="C11" t="inlineStr">
        <is>
          <t>Element Cycling Team</t>
        </is>
      </c>
      <c r="D11" t="inlineStr">
        <is>
          <t>358</t>
        </is>
      </c>
      <c r="E11" s="2">
        <f>HYPERLINK("https://www.britishcycling.org.uk/points?person_id=8627&amp;year=2024&amp;type=national&amp;d=6","Results")</f>
        <v/>
      </c>
    </row>
    <row r="12">
      <c r="A12" t="inlineStr">
        <is>
          <t>11</t>
        </is>
      </c>
      <c r="B12" t="inlineStr">
        <is>
          <t>Sheehan Quirke</t>
        </is>
      </c>
      <c r="C12" t="inlineStr">
        <is>
          <t>VC VELDRIJDEN</t>
        </is>
      </c>
      <c r="D12" t="inlineStr">
        <is>
          <t>332</t>
        </is>
      </c>
      <c r="E12" s="2">
        <f>HYPERLINK("https://www.britishcycling.org.uk/points?person_id=205201&amp;year=2024&amp;type=national&amp;d=6","Results")</f>
        <v/>
      </c>
    </row>
    <row r="13">
      <c r="A13" t="inlineStr">
        <is>
          <t>12</t>
        </is>
      </c>
      <c r="B13" t="inlineStr">
        <is>
          <t>Gary Hobbs</t>
        </is>
      </c>
      <c r="C13" t="inlineStr">
        <is>
          <t>Stroud Valley Velos</t>
        </is>
      </c>
      <c r="D13" t="inlineStr">
        <is>
          <t>328</t>
        </is>
      </c>
      <c r="E13" s="2">
        <f>HYPERLINK("https://www.britishcycling.org.uk/points?person_id=60593&amp;year=2024&amp;type=national&amp;d=6","Results")</f>
        <v/>
      </c>
    </row>
    <row r="14">
      <c r="A14" t="inlineStr">
        <is>
          <t>13</t>
        </is>
      </c>
      <c r="B14" t="inlineStr">
        <is>
          <t>Dave Copland</t>
        </is>
      </c>
      <c r="C14" t="inlineStr">
        <is>
          <t>Ipswich Bicycle Club</t>
        </is>
      </c>
      <c r="D14" t="inlineStr">
        <is>
          <t>326</t>
        </is>
      </c>
      <c r="E14" s="2">
        <f>HYPERLINK("https://www.britishcycling.org.uk/points?person_id=37075&amp;year=2024&amp;type=national&amp;d=6","Results")</f>
        <v/>
      </c>
    </row>
    <row r="15">
      <c r="A15" t="inlineStr">
        <is>
          <t>14</t>
        </is>
      </c>
      <c r="B15" t="inlineStr">
        <is>
          <t>Rob Watson</t>
        </is>
      </c>
      <c r="C15" t="inlineStr">
        <is>
          <t>SKCC</t>
        </is>
      </c>
      <c r="D15" t="inlineStr">
        <is>
          <t>326</t>
        </is>
      </c>
      <c r="E15" s="2">
        <f>HYPERLINK("https://www.britishcycling.org.uk/points?person_id=314245&amp;year=2024&amp;type=national&amp;d=6","Results")</f>
        <v/>
      </c>
    </row>
    <row r="16">
      <c r="A16" t="inlineStr">
        <is>
          <t>15</t>
        </is>
      </c>
      <c r="B16" t="inlineStr">
        <is>
          <t>John Galway</t>
        </is>
      </c>
      <c r="C16" t="inlineStr">
        <is>
          <t>Scarborough Coast Cycle Club</t>
        </is>
      </c>
      <c r="D16" t="inlineStr">
        <is>
          <t>316</t>
        </is>
      </c>
      <c r="E16" s="2">
        <f>HYPERLINK("https://www.britishcycling.org.uk/points?person_id=65029&amp;year=2024&amp;type=national&amp;d=6","Results")</f>
        <v/>
      </c>
    </row>
    <row r="17">
      <c r="A17" t="inlineStr">
        <is>
          <t>16</t>
        </is>
      </c>
      <c r="B17" t="inlineStr">
        <is>
          <t>Graham Dolby</t>
        </is>
      </c>
      <c r="C17" t="inlineStr">
        <is>
          <t>Equipe Velo</t>
        </is>
      </c>
      <c r="D17" t="inlineStr">
        <is>
          <t>306</t>
        </is>
      </c>
      <c r="E17" s="2">
        <f>HYPERLINK("https://www.britishcycling.org.uk/points?person_id=1119467&amp;year=2024&amp;type=national&amp;d=6","Results")</f>
        <v/>
      </c>
    </row>
    <row r="18">
      <c r="A18" t="inlineStr">
        <is>
          <t>17</t>
        </is>
      </c>
      <c r="B18" t="inlineStr">
        <is>
          <t>Glenn Coltman</t>
        </is>
      </c>
      <c r="C18" t="inlineStr">
        <is>
          <t>Pedal Power Loughborough</t>
        </is>
      </c>
      <c r="D18" t="inlineStr">
        <is>
          <t>284</t>
        </is>
      </c>
      <c r="E18" s="2">
        <f>HYPERLINK("https://www.britishcycling.org.uk/points?person_id=49474&amp;year=2024&amp;type=national&amp;d=6","Results")</f>
        <v/>
      </c>
    </row>
    <row r="19">
      <c r="A19" t="inlineStr">
        <is>
          <t>18</t>
        </is>
      </c>
      <c r="B19" t="inlineStr">
        <is>
          <t>Neil Taylor</t>
        </is>
      </c>
      <c r="C19" t="inlineStr">
        <is>
          <t>Pedal Power Loughborough</t>
        </is>
      </c>
      <c r="D19" t="inlineStr">
        <is>
          <t>278</t>
        </is>
      </c>
      <c r="E19" s="2">
        <f>HYPERLINK("https://www.britishcycling.org.uk/points?person_id=53000&amp;year=2024&amp;type=national&amp;d=6","Results")</f>
        <v/>
      </c>
    </row>
    <row r="20">
      <c r="A20" t="inlineStr">
        <is>
          <t>19</t>
        </is>
      </c>
      <c r="B20" t="inlineStr">
        <is>
          <t>Peter Golding</t>
        </is>
      </c>
      <c r="C20" t="inlineStr">
        <is>
          <t>West Suffolk Wheelers</t>
        </is>
      </c>
      <c r="D20" t="inlineStr">
        <is>
          <t>270</t>
        </is>
      </c>
      <c r="E20" s="2">
        <f>HYPERLINK("https://www.britishcycling.org.uk/points?person_id=293971&amp;year=2024&amp;type=national&amp;d=6","Results")</f>
        <v/>
      </c>
    </row>
    <row r="21">
      <c r="A21" t="inlineStr">
        <is>
          <t>20</t>
        </is>
      </c>
      <c r="B21" t="inlineStr">
        <is>
          <t>Robin Murray</t>
        </is>
      </c>
      <c r="C21" t="inlineStr">
        <is>
          <t>Buxton CC</t>
        </is>
      </c>
      <c r="D21" t="inlineStr">
        <is>
          <t>268</t>
        </is>
      </c>
      <c r="E21" s="2">
        <f>HYPERLINK("https://www.britishcycling.org.uk/points?person_id=307853&amp;year=2024&amp;type=national&amp;d=6","Results")</f>
        <v/>
      </c>
    </row>
    <row r="22">
      <c r="A22" t="inlineStr">
        <is>
          <t>21</t>
        </is>
      </c>
      <c r="B22" t="inlineStr">
        <is>
          <t>Martin Brown</t>
        </is>
      </c>
      <c r="C22" t="inlineStr">
        <is>
          <t>7 Oaks Triathlon Club</t>
        </is>
      </c>
      <c r="D22" t="inlineStr">
        <is>
          <t>260</t>
        </is>
      </c>
      <c r="E22" s="2">
        <f>HYPERLINK("https://www.britishcycling.org.uk/points?person_id=49300&amp;year=2024&amp;type=national&amp;d=6","Results")</f>
        <v/>
      </c>
    </row>
    <row r="23">
      <c r="A23" t="inlineStr">
        <is>
          <t>22</t>
        </is>
      </c>
      <c r="B23" t="inlineStr">
        <is>
          <t>Chris Hutchings</t>
        </is>
      </c>
      <c r="C23" t="inlineStr">
        <is>
          <t>Velo Club Venta</t>
        </is>
      </c>
      <c r="D23" t="inlineStr">
        <is>
          <t>258</t>
        </is>
      </c>
      <c r="E23" s="2">
        <f>HYPERLINK("https://www.britishcycling.org.uk/points?person_id=129344&amp;year=2024&amp;type=national&amp;d=6","Results")</f>
        <v/>
      </c>
    </row>
    <row r="24">
      <c r="A24" t="inlineStr">
        <is>
          <t>23</t>
        </is>
      </c>
      <c r="B24" t="inlineStr">
        <is>
          <t>Stuart Lockyear</t>
        </is>
      </c>
      <c r="C24" t="inlineStr">
        <is>
          <t>Dulwich Paragon CC</t>
        </is>
      </c>
      <c r="D24" t="inlineStr">
        <is>
          <t>256</t>
        </is>
      </c>
      <c r="E24" s="2">
        <f>HYPERLINK("https://www.britishcycling.org.uk/points?person_id=51613&amp;year=2024&amp;type=national&amp;d=6","Results")</f>
        <v/>
      </c>
    </row>
    <row r="25">
      <c r="A25" t="inlineStr">
        <is>
          <t>24</t>
        </is>
      </c>
      <c r="B25" t="inlineStr">
        <is>
          <t>John Alderman</t>
        </is>
      </c>
      <c r="C25" t="inlineStr">
        <is>
          <t>GS Vecchi</t>
        </is>
      </c>
      <c r="D25" t="inlineStr">
        <is>
          <t>254</t>
        </is>
      </c>
      <c r="E25" s="2">
        <f>HYPERLINK("https://www.britishcycling.org.uk/points?person_id=71013&amp;year=2024&amp;type=national&amp;d=6","Results")</f>
        <v/>
      </c>
    </row>
    <row r="26">
      <c r="A26" t="inlineStr">
        <is>
          <t>25</t>
        </is>
      </c>
      <c r="B26" t="inlineStr">
        <is>
          <t>Thomas Bardgett</t>
        </is>
      </c>
      <c r="C26" t="inlineStr">
        <is>
          <t>CXR</t>
        </is>
      </c>
      <c r="D26" t="inlineStr">
        <is>
          <t>242</t>
        </is>
      </c>
      <c r="E26" s="2">
        <f>HYPERLINK("https://www.britishcycling.org.uk/points?person_id=17101&amp;year=2024&amp;type=national&amp;d=6","Results")</f>
        <v/>
      </c>
    </row>
    <row r="27">
      <c r="A27" t="inlineStr">
        <is>
          <t>26</t>
        </is>
      </c>
      <c r="B27" t="inlineStr">
        <is>
          <t>Colin Blacklock</t>
        </is>
      </c>
      <c r="C27" t="inlineStr">
        <is>
          <t>Muckle Cycle Club</t>
        </is>
      </c>
      <c r="D27" t="inlineStr">
        <is>
          <t>240</t>
        </is>
      </c>
      <c r="E27" s="2">
        <f>HYPERLINK("https://www.britishcycling.org.uk/points?person_id=45752&amp;year=2024&amp;type=national&amp;d=6","Results")</f>
        <v/>
      </c>
    </row>
    <row r="28">
      <c r="A28" t="inlineStr">
        <is>
          <t>27</t>
        </is>
      </c>
      <c r="B28" t="inlineStr">
        <is>
          <t>Peter Bromwich</t>
        </is>
      </c>
      <c r="C28" t="inlineStr"/>
      <c r="D28" t="inlineStr">
        <is>
          <t>238</t>
        </is>
      </c>
      <c r="E28" s="2">
        <f>HYPERLINK("https://www.britishcycling.org.uk/points?person_id=36647&amp;year=2024&amp;type=national&amp;d=6","Results")</f>
        <v/>
      </c>
    </row>
    <row r="29">
      <c r="A29" t="inlineStr">
        <is>
          <t>28</t>
        </is>
      </c>
      <c r="B29" t="inlineStr">
        <is>
          <t>Phil Hoffman</t>
        </is>
      </c>
      <c r="C29" t="inlineStr">
        <is>
          <t>San Fairy Ann CC</t>
        </is>
      </c>
      <c r="D29" t="inlineStr">
        <is>
          <t>236</t>
        </is>
      </c>
      <c r="E29" s="2">
        <f>HYPERLINK("https://www.britishcycling.org.uk/points?person_id=179373&amp;year=2024&amp;type=national&amp;d=6","Results")</f>
        <v/>
      </c>
    </row>
    <row r="30">
      <c r="A30" t="inlineStr">
        <is>
          <t>29</t>
        </is>
      </c>
      <c r="B30" t="inlineStr">
        <is>
          <t>Nigel Jones</t>
        </is>
      </c>
      <c r="C30" t="inlineStr">
        <is>
          <t>ROTOR Race Team</t>
        </is>
      </c>
      <c r="D30" t="inlineStr">
        <is>
          <t>232</t>
        </is>
      </c>
      <c r="E30" s="2">
        <f>HYPERLINK("https://www.britishcycling.org.uk/points?person_id=52045&amp;year=2024&amp;type=national&amp;d=6","Results")</f>
        <v/>
      </c>
    </row>
    <row r="31">
      <c r="A31" t="inlineStr">
        <is>
          <t>30</t>
        </is>
      </c>
      <c r="B31" t="inlineStr">
        <is>
          <t>Luciano Colella</t>
        </is>
      </c>
      <c r="C31" t="inlineStr">
        <is>
          <t>North Hampshire RC</t>
        </is>
      </c>
      <c r="D31" t="inlineStr">
        <is>
          <t>228</t>
        </is>
      </c>
      <c r="E31" s="2">
        <f>HYPERLINK("https://www.britishcycling.org.uk/points?person_id=677108&amp;year=2024&amp;type=national&amp;d=6","Results")</f>
        <v/>
      </c>
    </row>
    <row r="32">
      <c r="A32" t="inlineStr">
        <is>
          <t>31</t>
        </is>
      </c>
      <c r="B32" t="inlineStr">
        <is>
          <t>David Coghill</t>
        </is>
      </c>
      <c r="C32" t="inlineStr">
        <is>
          <t>WestSide Coaching, 73 Degrees</t>
        </is>
      </c>
      <c r="D32" t="inlineStr">
        <is>
          <t>224</t>
        </is>
      </c>
      <c r="E32" s="2">
        <f>HYPERLINK("https://www.britishcycling.org.uk/points?person_id=736806&amp;year=2024&amp;type=national&amp;d=6","Results")</f>
        <v/>
      </c>
    </row>
    <row r="33">
      <c r="A33" t="inlineStr">
        <is>
          <t>32</t>
        </is>
      </c>
      <c r="B33" t="inlineStr">
        <is>
          <t>Peter Goy</t>
        </is>
      </c>
      <c r="C33" t="inlineStr">
        <is>
          <t>Louth Cycle Centre RT</t>
        </is>
      </c>
      <c r="D33" t="inlineStr">
        <is>
          <t>218</t>
        </is>
      </c>
      <c r="E33" s="2">
        <f>HYPERLINK("https://www.britishcycling.org.uk/points?person_id=300819&amp;year=2024&amp;type=national&amp;d=6","Results")</f>
        <v/>
      </c>
    </row>
    <row r="34">
      <c r="A34" t="inlineStr">
        <is>
          <t>33</t>
        </is>
      </c>
      <c r="B34" t="inlineStr">
        <is>
          <t>Kevin Holloway</t>
        </is>
      </c>
      <c r="C34" t="inlineStr">
        <is>
          <t>GS Vecchi</t>
        </is>
      </c>
      <c r="D34" t="inlineStr">
        <is>
          <t>218</t>
        </is>
      </c>
      <c r="E34" s="2">
        <f>HYPERLINK("https://www.britishcycling.org.uk/points?person_id=19053&amp;year=2024&amp;type=national&amp;d=6","Results")</f>
        <v/>
      </c>
    </row>
    <row r="35">
      <c r="A35" t="inlineStr">
        <is>
          <t>34</t>
        </is>
      </c>
      <c r="B35" t="inlineStr">
        <is>
          <t>Chris Watts</t>
        </is>
      </c>
      <c r="C35" t="inlineStr">
        <is>
          <t>Matlock CC</t>
        </is>
      </c>
      <c r="D35" t="inlineStr">
        <is>
          <t>217</t>
        </is>
      </c>
      <c r="E35" s="2">
        <f>HYPERLINK("https://www.britishcycling.org.uk/points?person_id=104514&amp;year=2024&amp;type=national&amp;d=6","Results")</f>
        <v/>
      </c>
    </row>
    <row r="36">
      <c r="A36" t="inlineStr">
        <is>
          <t>35</t>
        </is>
      </c>
      <c r="B36" t="inlineStr">
        <is>
          <t>Sean Beswick</t>
        </is>
      </c>
      <c r="C36" t="inlineStr">
        <is>
          <t>www.Zepnat.com RT - Lazer Helmets</t>
        </is>
      </c>
      <c r="D36" t="inlineStr">
        <is>
          <t>213</t>
        </is>
      </c>
      <c r="E36" s="2">
        <f>HYPERLINK("https://www.britishcycling.org.uk/points?person_id=22247&amp;year=2024&amp;type=national&amp;d=6","Results")</f>
        <v/>
      </c>
    </row>
    <row r="37">
      <c r="A37" t="inlineStr">
        <is>
          <t>36</t>
        </is>
      </c>
      <c r="B37" t="inlineStr">
        <is>
          <t>Kevin Payton</t>
        </is>
      </c>
      <c r="C37" t="inlineStr">
        <is>
          <t>Stourbridge CC</t>
        </is>
      </c>
      <c r="D37" t="inlineStr">
        <is>
          <t>204</t>
        </is>
      </c>
      <c r="E37" s="2">
        <f>HYPERLINK("https://www.britishcycling.org.uk/points?person_id=73598&amp;year=2024&amp;type=national&amp;d=6","Results")</f>
        <v/>
      </c>
    </row>
    <row r="38">
      <c r="A38" t="inlineStr">
        <is>
          <t>37</t>
        </is>
      </c>
      <c r="B38" t="inlineStr">
        <is>
          <t>Donald Gray</t>
        </is>
      </c>
      <c r="C38" t="inlineStr">
        <is>
          <t>Cardiff JIF</t>
        </is>
      </c>
      <c r="D38" t="inlineStr">
        <is>
          <t>198</t>
        </is>
      </c>
      <c r="E38" s="2">
        <f>HYPERLINK("https://www.britishcycling.org.uk/points?person_id=42451&amp;year=2024&amp;type=national&amp;d=6","Results")</f>
        <v/>
      </c>
    </row>
    <row r="39">
      <c r="A39" t="inlineStr">
        <is>
          <t>38</t>
        </is>
      </c>
      <c r="B39" t="inlineStr">
        <is>
          <t>Malcolm Cross</t>
        </is>
      </c>
      <c r="C39" t="inlineStr">
        <is>
          <t>Velo Club Venta</t>
        </is>
      </c>
      <c r="D39" t="inlineStr">
        <is>
          <t>196</t>
        </is>
      </c>
      <c r="E39" s="2">
        <f>HYPERLINK("https://www.britishcycling.org.uk/points?person_id=5898&amp;year=2024&amp;type=national&amp;d=6","Results")</f>
        <v/>
      </c>
    </row>
    <row r="40">
      <c r="A40" t="inlineStr">
        <is>
          <t>39</t>
        </is>
      </c>
      <c r="B40" t="inlineStr">
        <is>
          <t>Mark Fayers</t>
        </is>
      </c>
      <c r="C40" t="inlineStr">
        <is>
          <t>Richmond Cycling Club</t>
        </is>
      </c>
      <c r="D40" t="inlineStr">
        <is>
          <t>190</t>
        </is>
      </c>
      <c r="E40" s="2">
        <f>HYPERLINK("https://www.britishcycling.org.uk/points?person_id=1002821&amp;year=2024&amp;type=national&amp;d=6","Results")</f>
        <v/>
      </c>
    </row>
    <row r="41">
      <c r="A41" t="inlineStr">
        <is>
          <t>40</t>
        </is>
      </c>
      <c r="B41" t="inlineStr">
        <is>
          <t>Stephen Jones</t>
        </is>
      </c>
      <c r="C41" t="inlineStr">
        <is>
          <t>Banjo Cycles/Raceware</t>
        </is>
      </c>
      <c r="D41" t="inlineStr">
        <is>
          <t>186</t>
        </is>
      </c>
      <c r="E41" s="2">
        <f>HYPERLINK("https://www.britishcycling.org.uk/points?person_id=4133&amp;year=2024&amp;type=national&amp;d=6","Results")</f>
        <v/>
      </c>
    </row>
    <row r="42">
      <c r="A42" t="inlineStr">
        <is>
          <t>41</t>
        </is>
      </c>
      <c r="B42" t="inlineStr">
        <is>
          <t>John Lacey</t>
        </is>
      </c>
      <c r="C42" t="inlineStr">
        <is>
          <t>Hemel Hempstead CC</t>
        </is>
      </c>
      <c r="D42" t="inlineStr">
        <is>
          <t>186</t>
        </is>
      </c>
      <c r="E42" s="2">
        <f>HYPERLINK("https://www.britishcycling.org.uk/points?person_id=55835&amp;year=2024&amp;type=national&amp;d=6","Results")</f>
        <v/>
      </c>
    </row>
    <row r="43">
      <c r="A43" t="inlineStr">
        <is>
          <t>42</t>
        </is>
      </c>
      <c r="B43" t="inlineStr">
        <is>
          <t>Tim Higgins</t>
        </is>
      </c>
      <c r="C43" t="inlineStr">
        <is>
          <t>Scunthorpe RC</t>
        </is>
      </c>
      <c r="D43" t="inlineStr">
        <is>
          <t>185</t>
        </is>
      </c>
      <c r="E43" s="2">
        <f>HYPERLINK("https://www.britishcycling.org.uk/points?person_id=59927&amp;year=2024&amp;type=national&amp;d=6","Results")</f>
        <v/>
      </c>
    </row>
    <row r="44">
      <c r="A44" t="inlineStr">
        <is>
          <t>43</t>
        </is>
      </c>
      <c r="B44" t="inlineStr">
        <is>
          <t>Darrell Bradbury</t>
        </is>
      </c>
      <c r="C44" t="inlineStr">
        <is>
          <t>Norton Wheelers</t>
        </is>
      </c>
      <c r="D44" t="inlineStr">
        <is>
          <t>184</t>
        </is>
      </c>
      <c r="E44" s="2">
        <f>HYPERLINK("https://www.britishcycling.org.uk/points?person_id=1551&amp;year=2024&amp;type=national&amp;d=6","Results")</f>
        <v/>
      </c>
    </row>
    <row r="45">
      <c r="A45" t="inlineStr">
        <is>
          <t>44</t>
        </is>
      </c>
      <c r="B45" t="inlineStr">
        <is>
          <t>Mark Garrett</t>
        </is>
      </c>
      <c r="C45" t="inlineStr">
        <is>
          <t>Ride Coventry</t>
        </is>
      </c>
      <c r="D45" t="inlineStr">
        <is>
          <t>172</t>
        </is>
      </c>
      <c r="E45" s="2">
        <f>HYPERLINK("https://www.britishcycling.org.uk/points?person_id=74190&amp;year=2024&amp;type=national&amp;d=6","Results")</f>
        <v/>
      </c>
    </row>
    <row r="46">
      <c r="A46" t="inlineStr">
        <is>
          <t>45</t>
        </is>
      </c>
      <c r="B46" t="inlineStr">
        <is>
          <t>Robert Cranstone</t>
        </is>
      </c>
      <c r="C46" t="inlineStr">
        <is>
          <t>GS Vecchi</t>
        </is>
      </c>
      <c r="D46" t="inlineStr">
        <is>
          <t>171</t>
        </is>
      </c>
      <c r="E46" s="2">
        <f>HYPERLINK("https://www.britishcycling.org.uk/points?person_id=22845&amp;year=2024&amp;type=national&amp;d=6","Results")</f>
        <v/>
      </c>
    </row>
    <row r="47">
      <c r="A47" t="inlineStr">
        <is>
          <t>46</t>
        </is>
      </c>
      <c r="B47" t="inlineStr">
        <is>
          <t>Brendan Roe</t>
        </is>
      </c>
      <c r="C47" t="inlineStr">
        <is>
          <t>Ryan's Bike Surgery-Thomson Homes</t>
        </is>
      </c>
      <c r="D47" t="inlineStr">
        <is>
          <t>168</t>
        </is>
      </c>
      <c r="E47" s="2">
        <f>HYPERLINK("https://www.britishcycling.org.uk/points?person_id=31707&amp;year=2024&amp;type=national&amp;d=6","Results")</f>
        <v/>
      </c>
    </row>
    <row r="48">
      <c r="A48" t="inlineStr">
        <is>
          <t>47</t>
        </is>
      </c>
      <c r="B48" t="inlineStr">
        <is>
          <t>Michael Vaughan</t>
        </is>
      </c>
      <c r="C48" t="inlineStr">
        <is>
          <t>Mike Vaughan Cycles</t>
        </is>
      </c>
      <c r="D48" t="inlineStr">
        <is>
          <t>160</t>
        </is>
      </c>
      <c r="E48" s="2">
        <f>HYPERLINK("https://www.britishcycling.org.uk/points?person_id=23890&amp;year=2024&amp;type=national&amp;d=6","Results")</f>
        <v/>
      </c>
    </row>
    <row r="49">
      <c r="A49" t="inlineStr">
        <is>
          <t>48</t>
        </is>
      </c>
      <c r="B49" t="inlineStr">
        <is>
          <t>Paul Watson</t>
        </is>
      </c>
      <c r="C49" t="inlineStr">
        <is>
          <t>West Suffolk Wheelers</t>
        </is>
      </c>
      <c r="D49" t="inlineStr">
        <is>
          <t>160</t>
        </is>
      </c>
      <c r="E49" s="2">
        <f>HYPERLINK("https://www.britishcycling.org.uk/points?person_id=192003&amp;year=2024&amp;type=national&amp;d=6","Results")</f>
        <v/>
      </c>
    </row>
    <row r="50">
      <c r="A50" t="inlineStr">
        <is>
          <t>49</t>
        </is>
      </c>
      <c r="B50" t="inlineStr">
        <is>
          <t>Paul Dickens</t>
        </is>
      </c>
      <c r="C50" t="inlineStr">
        <is>
          <t>Rockingham Forest Whls</t>
        </is>
      </c>
      <c r="D50" t="inlineStr">
        <is>
          <t>158</t>
        </is>
      </c>
      <c r="E50" s="2">
        <f>HYPERLINK("https://www.britishcycling.org.uk/points?person_id=993995&amp;year=2024&amp;type=national&amp;d=6","Results")</f>
        <v/>
      </c>
    </row>
    <row r="51">
      <c r="A51" t="inlineStr">
        <is>
          <t>50</t>
        </is>
      </c>
      <c r="B51" t="inlineStr">
        <is>
          <t>Simon Hime</t>
        </is>
      </c>
      <c r="C51" t="inlineStr">
        <is>
          <t>Finchley Racing Team</t>
        </is>
      </c>
      <c r="D51" t="inlineStr">
        <is>
          <t>154</t>
        </is>
      </c>
      <c r="E51" s="2">
        <f>HYPERLINK("https://www.britishcycling.org.uk/points?person_id=15847&amp;year=2024&amp;type=national&amp;d=6","Results")</f>
        <v/>
      </c>
    </row>
    <row r="52">
      <c r="A52" t="inlineStr">
        <is>
          <t>51</t>
        </is>
      </c>
      <c r="B52" t="inlineStr">
        <is>
          <t>Peter Busby</t>
        </is>
      </c>
      <c r="C52" t="inlineStr">
        <is>
          <t>Team Enable MI Racing</t>
        </is>
      </c>
      <c r="D52" t="inlineStr">
        <is>
          <t>152</t>
        </is>
      </c>
      <c r="E52" s="2">
        <f>HYPERLINK("https://www.britishcycling.org.uk/points?person_id=109091&amp;year=2024&amp;type=national&amp;d=6","Results")</f>
        <v/>
      </c>
    </row>
    <row r="53">
      <c r="A53" t="inlineStr">
        <is>
          <t>52</t>
        </is>
      </c>
      <c r="B53" t="inlineStr">
        <is>
          <t>Simon Reynolds</t>
        </is>
      </c>
      <c r="C53" t="inlineStr">
        <is>
          <t>South Shields Velo Cycling Club</t>
        </is>
      </c>
      <c r="D53" t="inlineStr">
        <is>
          <t>152</t>
        </is>
      </c>
      <c r="E53" s="2">
        <f>HYPERLINK("https://www.britishcycling.org.uk/points?person_id=387521&amp;year=2024&amp;type=national&amp;d=6","Results")</f>
        <v/>
      </c>
    </row>
    <row r="54">
      <c r="A54" t="inlineStr">
        <is>
          <t>53</t>
        </is>
      </c>
      <c r="B54" t="inlineStr">
        <is>
          <t>Neil Raitt</t>
        </is>
      </c>
      <c r="C54" t="inlineStr">
        <is>
          <t>Dundee Thistle RC</t>
        </is>
      </c>
      <c r="D54" t="inlineStr">
        <is>
          <t>150</t>
        </is>
      </c>
      <c r="E54" s="2">
        <f>HYPERLINK("https://www.britishcycling.org.uk/points?person_id=64215&amp;year=2024&amp;type=national&amp;d=6","Results")</f>
        <v/>
      </c>
    </row>
    <row r="55">
      <c r="A55" t="inlineStr">
        <is>
          <t>54</t>
        </is>
      </c>
      <c r="B55" t="inlineStr">
        <is>
          <t>David Smith</t>
        </is>
      </c>
      <c r="C55" t="inlineStr">
        <is>
          <t>Kendal Cycle Club</t>
        </is>
      </c>
      <c r="D55" t="inlineStr">
        <is>
          <t>150</t>
        </is>
      </c>
      <c r="E55" s="2">
        <f>HYPERLINK("https://www.britishcycling.org.uk/points?person_id=613985&amp;year=2024&amp;type=national&amp;d=6","Results")</f>
        <v/>
      </c>
    </row>
    <row r="56">
      <c r="A56" t="inlineStr">
        <is>
          <t>55</t>
        </is>
      </c>
      <c r="B56" t="inlineStr">
        <is>
          <t>John Fettis</t>
        </is>
      </c>
      <c r="C56" t="inlineStr">
        <is>
          <t>Club Corley Cycles RC</t>
        </is>
      </c>
      <c r="D56" t="inlineStr">
        <is>
          <t>144</t>
        </is>
      </c>
      <c r="E56" s="2">
        <f>HYPERLINK("https://www.britishcycling.org.uk/points?person_id=12893&amp;year=2024&amp;type=national&amp;d=6","Results")</f>
        <v/>
      </c>
    </row>
    <row r="57">
      <c r="A57" t="inlineStr">
        <is>
          <t>56</t>
        </is>
      </c>
      <c r="B57" t="inlineStr">
        <is>
          <t>Neil Cranston</t>
        </is>
      </c>
      <c r="C57" t="inlineStr">
        <is>
          <t>Barnesbury CC</t>
        </is>
      </c>
      <c r="D57" t="inlineStr">
        <is>
          <t>142</t>
        </is>
      </c>
      <c r="E57" s="2">
        <f>HYPERLINK("https://www.britishcycling.org.uk/points?person_id=324892&amp;year=2024&amp;type=national&amp;d=6","Results")</f>
        <v/>
      </c>
    </row>
    <row r="58">
      <c r="A58" t="inlineStr">
        <is>
          <t>57</t>
        </is>
      </c>
      <c r="B58" t="inlineStr">
        <is>
          <t>Nigel Wheeler</t>
        </is>
      </c>
      <c r="C58" t="inlineStr">
        <is>
          <t>Kingston Wheelers CC</t>
        </is>
      </c>
      <c r="D58" t="inlineStr">
        <is>
          <t>136</t>
        </is>
      </c>
      <c r="E58" s="2">
        <f>HYPERLINK("https://www.britishcycling.org.uk/points?person_id=753572&amp;year=2024&amp;type=national&amp;d=6","Results")</f>
        <v/>
      </c>
    </row>
    <row r="59">
      <c r="A59" t="inlineStr">
        <is>
          <t>58</t>
        </is>
      </c>
      <c r="B59" t="inlineStr">
        <is>
          <t>Mark Stacey</t>
        </is>
      </c>
      <c r="C59" t="inlineStr">
        <is>
          <t>Port Talbot Wheelers</t>
        </is>
      </c>
      <c r="D59" t="inlineStr">
        <is>
          <t>135</t>
        </is>
      </c>
      <c r="E59" s="2">
        <f>HYPERLINK("https://www.britishcycling.org.uk/points?person_id=67572&amp;year=2024&amp;type=national&amp;d=6","Results")</f>
        <v/>
      </c>
    </row>
    <row r="60">
      <c r="A60" t="inlineStr">
        <is>
          <t>59</t>
        </is>
      </c>
      <c r="B60" t="inlineStr">
        <is>
          <t>Anthony Jennings</t>
        </is>
      </c>
      <c r="C60" t="inlineStr">
        <is>
          <t>Bridgwater Cycling Club</t>
        </is>
      </c>
      <c r="D60" t="inlineStr">
        <is>
          <t>130</t>
        </is>
      </c>
      <c r="E60" s="2">
        <f>HYPERLINK("https://www.britishcycling.org.uk/points?person_id=262173&amp;year=2024&amp;type=national&amp;d=6","Results")</f>
        <v/>
      </c>
    </row>
    <row r="61">
      <c r="A61" t="inlineStr">
        <is>
          <t>60</t>
        </is>
      </c>
      <c r="B61" t="inlineStr">
        <is>
          <t>Steve Macklin</t>
        </is>
      </c>
      <c r="C61" t="inlineStr"/>
      <c r="D61" t="inlineStr">
        <is>
          <t>130</t>
        </is>
      </c>
      <c r="E61" s="2">
        <f>HYPERLINK("https://www.britishcycling.org.uk/points?person_id=2528&amp;year=2024&amp;type=national&amp;d=6","Results")</f>
        <v/>
      </c>
    </row>
    <row r="62">
      <c r="A62" t="inlineStr">
        <is>
          <t>61</t>
        </is>
      </c>
      <c r="B62" t="inlineStr">
        <is>
          <t>Lynn Lines</t>
        </is>
      </c>
      <c r="C62" t="inlineStr">
        <is>
          <t>Gateway Racing</t>
        </is>
      </c>
      <c r="D62" t="inlineStr">
        <is>
          <t>129</t>
        </is>
      </c>
      <c r="E62" s="2">
        <f>HYPERLINK("https://www.britishcycling.org.uk/points?person_id=72723&amp;year=2024&amp;type=national&amp;d=6","Results")</f>
        <v/>
      </c>
    </row>
    <row r="63">
      <c r="A63" t="inlineStr">
        <is>
          <t>62</t>
        </is>
      </c>
      <c r="B63" t="inlineStr">
        <is>
          <t>David Collins</t>
        </is>
      </c>
      <c r="C63" t="inlineStr">
        <is>
          <t>Here Come The Belgians</t>
        </is>
      </c>
      <c r="D63" t="inlineStr">
        <is>
          <t>122</t>
        </is>
      </c>
      <c r="E63" s="2">
        <f>HYPERLINK("https://www.britishcycling.org.uk/points?person_id=533554&amp;year=2024&amp;type=national&amp;d=6","Results")</f>
        <v/>
      </c>
    </row>
    <row r="64">
      <c r="A64" t="inlineStr">
        <is>
          <t>63</t>
        </is>
      </c>
      <c r="B64" t="inlineStr">
        <is>
          <t>Brian Gough</t>
        </is>
      </c>
      <c r="C64" t="inlineStr"/>
      <c r="D64" t="inlineStr">
        <is>
          <t>122</t>
        </is>
      </c>
      <c r="E64" s="2">
        <f>HYPERLINK("https://www.britishcycling.org.uk/points?person_id=175244&amp;year=2024&amp;type=national&amp;d=6","Results")</f>
        <v/>
      </c>
    </row>
    <row r="65">
      <c r="A65" t="inlineStr">
        <is>
          <t>64</t>
        </is>
      </c>
      <c r="B65" t="inlineStr">
        <is>
          <t>Charles Codrington</t>
        </is>
      </c>
      <c r="C65" t="inlineStr">
        <is>
          <t>Dulwich Paragon CC</t>
        </is>
      </c>
      <c r="D65" t="inlineStr">
        <is>
          <t>120</t>
        </is>
      </c>
      <c r="E65" s="2">
        <f>HYPERLINK("https://www.britishcycling.org.uk/points?person_id=18732&amp;year=2024&amp;type=national&amp;d=6","Results")</f>
        <v/>
      </c>
    </row>
    <row r="66">
      <c r="A66" t="inlineStr">
        <is>
          <t>65</t>
        </is>
      </c>
      <c r="B66" t="inlineStr">
        <is>
          <t>Paul Sinclair</t>
        </is>
      </c>
      <c r="C66" t="inlineStr"/>
      <c r="D66" t="inlineStr">
        <is>
          <t>118</t>
        </is>
      </c>
      <c r="E66" s="2">
        <f>HYPERLINK("https://www.britishcycling.org.uk/points?person_id=965660&amp;year=2024&amp;type=national&amp;d=6","Results")</f>
        <v/>
      </c>
    </row>
    <row r="67">
      <c r="A67" t="inlineStr">
        <is>
          <t>66</t>
        </is>
      </c>
      <c r="B67" t="inlineStr">
        <is>
          <t>Stephen Walker</t>
        </is>
      </c>
      <c r="C67" t="inlineStr">
        <is>
          <t>RTD - J'sCycleShack</t>
        </is>
      </c>
      <c r="D67" t="inlineStr">
        <is>
          <t>118</t>
        </is>
      </c>
      <c r="E67" s="2">
        <f>HYPERLINK("https://www.britishcycling.org.uk/points?person_id=510171&amp;year=2024&amp;type=national&amp;d=6","Results")</f>
        <v/>
      </c>
    </row>
    <row r="68">
      <c r="A68" t="inlineStr">
        <is>
          <t>67</t>
        </is>
      </c>
      <c r="B68" t="inlineStr">
        <is>
          <t>Robert Smith</t>
        </is>
      </c>
      <c r="C68" t="inlineStr">
        <is>
          <t>Stowmarket &amp; District CC</t>
        </is>
      </c>
      <c r="D68" t="inlineStr">
        <is>
          <t>117</t>
        </is>
      </c>
      <c r="E68" s="2">
        <f>HYPERLINK("https://www.britishcycling.org.uk/points?person_id=60740&amp;year=2024&amp;type=national&amp;d=6","Results")</f>
        <v/>
      </c>
    </row>
    <row r="69">
      <c r="A69" t="inlineStr">
        <is>
          <t>68</t>
        </is>
      </c>
      <c r="B69" t="inlineStr">
        <is>
          <t>Jim Foulis</t>
        </is>
      </c>
      <c r="C69" t="inlineStr">
        <is>
          <t>Trilogy CC</t>
        </is>
      </c>
      <c r="D69" t="inlineStr">
        <is>
          <t>116</t>
        </is>
      </c>
      <c r="E69" s="2">
        <f>HYPERLINK("https://www.britishcycling.org.uk/points?person_id=56954&amp;year=2024&amp;type=national&amp;d=6","Results")</f>
        <v/>
      </c>
    </row>
    <row r="70">
      <c r="A70" t="inlineStr">
        <is>
          <t>69</t>
        </is>
      </c>
      <c r="B70" t="inlineStr">
        <is>
          <t>John Davidson</t>
        </is>
      </c>
      <c r="C70" t="inlineStr">
        <is>
          <t>Reifen Racing</t>
        </is>
      </c>
      <c r="D70" t="inlineStr">
        <is>
          <t>112</t>
        </is>
      </c>
      <c r="E70" s="2">
        <f>HYPERLINK("https://www.britishcycling.org.uk/points?person_id=47279&amp;year=2024&amp;type=national&amp;d=6","Results")</f>
        <v/>
      </c>
    </row>
    <row r="71">
      <c r="A71" t="inlineStr">
        <is>
          <t>70</t>
        </is>
      </c>
      <c r="B71" t="inlineStr">
        <is>
          <t>Paul Sleaford</t>
        </is>
      </c>
      <c r="C71" t="inlineStr">
        <is>
          <t>Norton Wheelers</t>
        </is>
      </c>
      <c r="D71" t="inlineStr">
        <is>
          <t>112</t>
        </is>
      </c>
      <c r="E71" s="2">
        <f>HYPERLINK("https://www.britishcycling.org.uk/points?person_id=63700&amp;year=2024&amp;type=national&amp;d=6","Results")</f>
        <v/>
      </c>
    </row>
    <row r="72">
      <c r="A72" t="inlineStr">
        <is>
          <t>71</t>
        </is>
      </c>
      <c r="B72" t="inlineStr">
        <is>
          <t>Leslie Anstee</t>
        </is>
      </c>
      <c r="C72" t="inlineStr">
        <is>
          <t>VC Londres</t>
        </is>
      </c>
      <c r="D72" t="inlineStr">
        <is>
          <t>110</t>
        </is>
      </c>
      <c r="E72" s="2">
        <f>HYPERLINK("https://www.britishcycling.org.uk/points?person_id=477646&amp;year=2024&amp;type=national&amp;d=6","Results")</f>
        <v/>
      </c>
    </row>
    <row r="73">
      <c r="A73" t="inlineStr">
        <is>
          <t>72</t>
        </is>
      </c>
      <c r="B73" t="inlineStr">
        <is>
          <t>Stephen Crossman</t>
        </is>
      </c>
      <c r="C73" t="inlineStr">
        <is>
          <t>Minehead Cycling Club</t>
        </is>
      </c>
      <c r="D73" t="inlineStr">
        <is>
          <t>110</t>
        </is>
      </c>
      <c r="E73" s="2">
        <f>HYPERLINK("https://www.britishcycling.org.uk/points?person_id=27905&amp;year=2024&amp;type=national&amp;d=6","Results")</f>
        <v/>
      </c>
    </row>
    <row r="74">
      <c r="A74" t="inlineStr">
        <is>
          <t>73</t>
        </is>
      </c>
      <c r="B74" t="inlineStr">
        <is>
          <t>Martyn Dymond</t>
        </is>
      </c>
      <c r="C74" t="inlineStr">
        <is>
          <t>C and N Cycles RT</t>
        </is>
      </c>
      <c r="D74" t="inlineStr">
        <is>
          <t>110</t>
        </is>
      </c>
      <c r="E74" s="2">
        <f>HYPERLINK("https://www.britishcycling.org.uk/points?person_id=36044&amp;year=2024&amp;type=national&amp;d=6","Results")</f>
        <v/>
      </c>
    </row>
    <row r="75">
      <c r="A75" t="inlineStr">
        <is>
          <t>74</t>
        </is>
      </c>
      <c r="B75" t="inlineStr">
        <is>
          <t>Andrew Prince</t>
        </is>
      </c>
      <c r="C75" t="inlineStr">
        <is>
          <t>Ilkeston Cycle Club</t>
        </is>
      </c>
      <c r="D75" t="inlineStr">
        <is>
          <t>107</t>
        </is>
      </c>
      <c r="E75" s="2">
        <f>HYPERLINK("https://www.britishcycling.org.uk/points?person_id=209356&amp;year=2024&amp;type=national&amp;d=6","Results")</f>
        <v/>
      </c>
    </row>
    <row r="76">
      <c r="A76" t="inlineStr">
        <is>
          <t>75</t>
        </is>
      </c>
      <c r="B76" t="inlineStr">
        <is>
          <t>David Garrett</t>
        </is>
      </c>
      <c r="C76" t="inlineStr">
        <is>
          <t>Rugby Velo</t>
        </is>
      </c>
      <c r="D76" t="inlineStr">
        <is>
          <t>106</t>
        </is>
      </c>
      <c r="E76" s="2">
        <f>HYPERLINK("https://www.britishcycling.org.uk/points?person_id=51702&amp;year=2024&amp;type=national&amp;d=6","Results")</f>
        <v/>
      </c>
    </row>
    <row r="77">
      <c r="A77" t="inlineStr">
        <is>
          <t>76</t>
        </is>
      </c>
      <c r="B77" t="inlineStr">
        <is>
          <t>Richard House</t>
        </is>
      </c>
      <c r="C77" t="inlineStr">
        <is>
          <t>WarVena Racing Team</t>
        </is>
      </c>
      <c r="D77" t="inlineStr">
        <is>
          <t>106</t>
        </is>
      </c>
      <c r="E77" s="2">
        <f>HYPERLINK("https://www.britishcycling.org.uk/points?person_id=124029&amp;year=2024&amp;type=national&amp;d=6","Results")</f>
        <v/>
      </c>
    </row>
    <row r="78">
      <c r="A78" t="inlineStr">
        <is>
          <t>77</t>
        </is>
      </c>
      <c r="B78" t="inlineStr">
        <is>
          <t>Andrew Roberts</t>
        </is>
      </c>
      <c r="C78" t="inlineStr">
        <is>
          <t>HBC Competition Team</t>
        </is>
      </c>
      <c r="D78" t="inlineStr">
        <is>
          <t>106</t>
        </is>
      </c>
      <c r="E78" s="2">
        <f>HYPERLINK("https://www.britishcycling.org.uk/points?person_id=51384&amp;year=2024&amp;type=national&amp;d=6","Results")</f>
        <v/>
      </c>
    </row>
    <row r="79">
      <c r="A79" t="inlineStr">
        <is>
          <t>78</t>
        </is>
      </c>
      <c r="B79" t="inlineStr">
        <is>
          <t>Adrian Brown</t>
        </is>
      </c>
      <c r="C79" t="inlineStr">
        <is>
          <t>Merthyr Cycling Club</t>
        </is>
      </c>
      <c r="D79" t="inlineStr">
        <is>
          <t>104</t>
        </is>
      </c>
      <c r="E79" s="2">
        <f>HYPERLINK("https://www.britishcycling.org.uk/points?person_id=586028&amp;year=2024&amp;type=national&amp;d=6","Results")</f>
        <v/>
      </c>
    </row>
    <row r="80">
      <c r="A80" t="inlineStr">
        <is>
          <t>79</t>
        </is>
      </c>
      <c r="B80" t="inlineStr">
        <is>
          <t>Robin Delve</t>
        </is>
      </c>
      <c r="C80" t="inlineStr">
        <is>
          <t>Mid Devon CC</t>
        </is>
      </c>
      <c r="D80" t="inlineStr">
        <is>
          <t>104</t>
        </is>
      </c>
      <c r="E80" s="2">
        <f>HYPERLINK("https://www.britishcycling.org.uk/points?person_id=38272&amp;year=2024&amp;type=national&amp;d=6","Results")</f>
        <v/>
      </c>
    </row>
    <row r="81">
      <c r="A81" t="inlineStr">
        <is>
          <t>80</t>
        </is>
      </c>
      <c r="B81" t="inlineStr">
        <is>
          <t>Mark Hulands</t>
        </is>
      </c>
      <c r="C81" t="inlineStr">
        <is>
          <t>VC Long Eaton</t>
        </is>
      </c>
      <c r="D81" t="inlineStr">
        <is>
          <t>104</t>
        </is>
      </c>
      <c r="E81" s="2">
        <f>HYPERLINK("https://www.britishcycling.org.uk/points?person_id=390644&amp;year=2024&amp;type=national&amp;d=6","Results")</f>
        <v/>
      </c>
    </row>
    <row r="82">
      <c r="A82" t="inlineStr">
        <is>
          <t>81</t>
        </is>
      </c>
      <c r="B82" t="inlineStr">
        <is>
          <t>Nick Percival</t>
        </is>
      </c>
      <c r="C82" t="inlineStr"/>
      <c r="D82" t="inlineStr">
        <is>
          <t>104</t>
        </is>
      </c>
      <c r="E82" s="2">
        <f>HYPERLINK("https://www.britishcycling.org.uk/points?person_id=534423&amp;year=2024&amp;type=national&amp;d=6","Results")</f>
        <v/>
      </c>
    </row>
    <row r="83">
      <c r="A83" t="inlineStr">
        <is>
          <t>82</t>
        </is>
      </c>
      <c r="B83" t="inlineStr">
        <is>
          <t>Steve Whitehouse</t>
        </is>
      </c>
      <c r="C83" t="inlineStr">
        <is>
          <t>WarVena Racing Team</t>
        </is>
      </c>
      <c r="D83" t="inlineStr">
        <is>
          <t>104</t>
        </is>
      </c>
      <c r="E83" s="2">
        <f>HYPERLINK("https://www.britishcycling.org.uk/points?person_id=62474&amp;year=2024&amp;type=national&amp;d=6","Results")</f>
        <v/>
      </c>
    </row>
    <row r="84">
      <c r="A84" t="inlineStr">
        <is>
          <t>83</t>
        </is>
      </c>
      <c r="B84" t="inlineStr">
        <is>
          <t>Nigel Herrod</t>
        </is>
      </c>
      <c r="C84" t="inlineStr">
        <is>
          <t>ROTOR Race Team</t>
        </is>
      </c>
      <c r="D84" t="inlineStr">
        <is>
          <t>102</t>
        </is>
      </c>
      <c r="E84" s="2">
        <f>HYPERLINK("https://www.britishcycling.org.uk/points?person_id=189099&amp;year=2024&amp;type=national&amp;d=6","Results")</f>
        <v/>
      </c>
    </row>
    <row r="85">
      <c r="A85" t="inlineStr">
        <is>
          <t>84</t>
        </is>
      </c>
      <c r="B85" t="inlineStr">
        <is>
          <t>Ned Potter</t>
        </is>
      </c>
      <c r="C85" t="inlineStr">
        <is>
          <t>Gannet CC</t>
        </is>
      </c>
      <c r="D85" t="inlineStr">
        <is>
          <t>102</t>
        </is>
      </c>
      <c r="E85" s="2">
        <f>HYPERLINK("https://www.britishcycling.org.uk/points?person_id=77781&amp;year=2024&amp;type=national&amp;d=6","Results")</f>
        <v/>
      </c>
    </row>
    <row r="86">
      <c r="A86" t="inlineStr">
        <is>
          <t>85</t>
        </is>
      </c>
      <c r="B86" t="inlineStr">
        <is>
          <t>Peter Harris</t>
        </is>
      </c>
      <c r="C86" t="inlineStr">
        <is>
          <t>Pearce Cycles RT</t>
        </is>
      </c>
      <c r="D86" t="inlineStr">
        <is>
          <t>100</t>
        </is>
      </c>
      <c r="E86" s="2">
        <f>HYPERLINK("https://www.britishcycling.org.uk/points?person_id=66894&amp;year=2024&amp;type=national&amp;d=6","Results")</f>
        <v/>
      </c>
    </row>
    <row r="87">
      <c r="A87" t="inlineStr">
        <is>
          <t>86</t>
        </is>
      </c>
      <c r="B87" t="inlineStr">
        <is>
          <t>Richard Hardy</t>
        </is>
      </c>
      <c r="C87" t="inlineStr">
        <is>
          <t>Hemel Hempstead CC</t>
        </is>
      </c>
      <c r="D87" t="inlineStr">
        <is>
          <t>99</t>
        </is>
      </c>
      <c r="E87" s="2">
        <f>HYPERLINK("https://www.britishcycling.org.uk/points?person_id=383763&amp;year=2024&amp;type=national&amp;d=6","Results")</f>
        <v/>
      </c>
    </row>
    <row r="88">
      <c r="A88" t="inlineStr">
        <is>
          <t>87</t>
        </is>
      </c>
      <c r="B88" t="inlineStr">
        <is>
          <t>Clifford Featherstone</t>
        </is>
      </c>
      <c r="C88" t="inlineStr"/>
      <c r="D88" t="inlineStr">
        <is>
          <t>98</t>
        </is>
      </c>
      <c r="E88" s="2">
        <f>HYPERLINK("https://www.britishcycling.org.uk/points?person_id=34157&amp;year=2024&amp;type=national&amp;d=6","Results")</f>
        <v/>
      </c>
    </row>
    <row r="89">
      <c r="A89" t="inlineStr">
        <is>
          <t>88</t>
        </is>
      </c>
      <c r="B89" t="inlineStr">
        <is>
          <t>Philip Travers</t>
        </is>
      </c>
      <c r="C89" t="inlineStr">
        <is>
          <t>Derwentside CC</t>
        </is>
      </c>
      <c r="D89" t="inlineStr">
        <is>
          <t>97</t>
        </is>
      </c>
      <c r="E89" s="2">
        <f>HYPERLINK("https://www.britishcycling.org.uk/points?person_id=1041475&amp;year=2024&amp;type=national&amp;d=6","Results")</f>
        <v/>
      </c>
    </row>
    <row r="90">
      <c r="A90" t="inlineStr">
        <is>
          <t>89</t>
        </is>
      </c>
      <c r="B90" t="inlineStr">
        <is>
          <t>David Robinson</t>
        </is>
      </c>
      <c r="C90" t="inlineStr">
        <is>
          <t>Louth Cycle Centre RT</t>
        </is>
      </c>
      <c r="D90" t="inlineStr">
        <is>
          <t>94</t>
        </is>
      </c>
      <c r="E90" s="2">
        <f>HYPERLINK("https://www.britishcycling.org.uk/points?person_id=21227&amp;year=2024&amp;type=national&amp;d=6","Results")</f>
        <v/>
      </c>
    </row>
    <row r="91">
      <c r="A91" t="inlineStr">
        <is>
          <t>90</t>
        </is>
      </c>
      <c r="B91" t="inlineStr">
        <is>
          <t>Neil Blessitt</t>
        </is>
      </c>
      <c r="C91" t="inlineStr">
        <is>
          <t>Severn RC</t>
        </is>
      </c>
      <c r="D91" t="inlineStr">
        <is>
          <t>92</t>
        </is>
      </c>
      <c r="E91" s="2">
        <f>HYPERLINK("https://www.britishcycling.org.uk/points?person_id=541591&amp;year=2024&amp;type=national&amp;d=6","Results")</f>
        <v/>
      </c>
    </row>
    <row r="92">
      <c r="A92" t="inlineStr">
        <is>
          <t>91</t>
        </is>
      </c>
      <c r="B92" t="inlineStr">
        <is>
          <t>Raymond Cochrane</t>
        </is>
      </c>
      <c r="C92" t="inlineStr">
        <is>
          <t>Team Enable MI Racing</t>
        </is>
      </c>
      <c r="D92" t="inlineStr">
        <is>
          <t>92</t>
        </is>
      </c>
      <c r="E92" s="2">
        <f>HYPERLINK("https://www.britishcycling.org.uk/points?person_id=524200&amp;year=2024&amp;type=national&amp;d=6","Results")</f>
        <v/>
      </c>
    </row>
    <row r="93">
      <c r="A93" t="inlineStr">
        <is>
          <t>92</t>
        </is>
      </c>
      <c r="B93" t="inlineStr">
        <is>
          <t>IFOR Phillips</t>
        </is>
      </c>
      <c r="C93" t="inlineStr">
        <is>
          <t>Holyhead Cycling Club</t>
        </is>
      </c>
      <c r="D93" t="inlineStr">
        <is>
          <t>92</t>
        </is>
      </c>
      <c r="E93" s="2">
        <f>HYPERLINK("https://www.britishcycling.org.uk/points?person_id=55997&amp;year=2024&amp;type=national&amp;d=6","Results")</f>
        <v/>
      </c>
    </row>
    <row r="94">
      <c r="A94" t="inlineStr">
        <is>
          <t>93</t>
        </is>
      </c>
      <c r="B94" t="inlineStr">
        <is>
          <t>Richard Mynott</t>
        </is>
      </c>
      <c r="C94" t="inlineStr"/>
      <c r="D94" t="inlineStr">
        <is>
          <t>90</t>
        </is>
      </c>
      <c r="E94" s="2">
        <f>HYPERLINK("https://www.britishcycling.org.uk/points?person_id=218842&amp;year=2024&amp;type=national&amp;d=6","Results")</f>
        <v/>
      </c>
    </row>
    <row r="95">
      <c r="A95" t="inlineStr">
        <is>
          <t>94</t>
        </is>
      </c>
      <c r="B95" t="inlineStr">
        <is>
          <t>Paul Brown</t>
        </is>
      </c>
      <c r="C95" t="inlineStr">
        <is>
          <t>Pedal Power Loughborough</t>
        </is>
      </c>
      <c r="D95" t="inlineStr">
        <is>
          <t>87</t>
        </is>
      </c>
      <c r="E95" s="2">
        <f>HYPERLINK("https://www.britishcycling.org.uk/points?person_id=603877&amp;year=2024&amp;type=national&amp;d=6","Results")</f>
        <v/>
      </c>
    </row>
    <row r="96">
      <c r="A96" t="inlineStr">
        <is>
          <t>95</t>
        </is>
      </c>
      <c r="B96" t="inlineStr">
        <is>
          <t>Richard Bremner</t>
        </is>
      </c>
      <c r="C96" t="inlineStr">
        <is>
          <t>Pedalon.co.uk</t>
        </is>
      </c>
      <c r="D96" t="inlineStr">
        <is>
          <t>85</t>
        </is>
      </c>
      <c r="E96" s="2">
        <f>HYPERLINK("https://www.britishcycling.org.uk/points?person_id=23628&amp;year=2024&amp;type=national&amp;d=6","Results")</f>
        <v/>
      </c>
    </row>
    <row r="97">
      <c r="A97" t="inlineStr">
        <is>
          <t>96</t>
        </is>
      </c>
      <c r="B97" t="inlineStr">
        <is>
          <t>Kevin Dunster</t>
        </is>
      </c>
      <c r="C97" t="inlineStr"/>
      <c r="D97" t="inlineStr">
        <is>
          <t>85</t>
        </is>
      </c>
      <c r="E97" s="2">
        <f>HYPERLINK("https://www.britishcycling.org.uk/points?person_id=108336&amp;year=2024&amp;type=national&amp;d=6","Results")</f>
        <v/>
      </c>
    </row>
    <row r="98">
      <c r="A98" t="inlineStr">
        <is>
          <t>97</t>
        </is>
      </c>
      <c r="B98" t="inlineStr">
        <is>
          <t>Ian Robson</t>
        </is>
      </c>
      <c r="C98" t="inlineStr">
        <is>
          <t>ProSport UK</t>
        </is>
      </c>
      <c r="D98" t="inlineStr">
        <is>
          <t>85</t>
        </is>
      </c>
      <c r="E98" s="2">
        <f>HYPERLINK("https://www.britishcycling.org.uk/points?person_id=18439&amp;year=2024&amp;type=national&amp;d=6","Results")</f>
        <v/>
      </c>
    </row>
    <row r="99">
      <c r="A99" t="inlineStr">
        <is>
          <t>98</t>
        </is>
      </c>
      <c r="B99" t="inlineStr">
        <is>
          <t>Gary Rowing-Parker</t>
        </is>
      </c>
      <c r="C99" t="inlineStr">
        <is>
          <t>Solihull CC</t>
        </is>
      </c>
      <c r="D99" t="inlineStr">
        <is>
          <t>82</t>
        </is>
      </c>
      <c r="E99" s="2">
        <f>HYPERLINK("https://www.britishcycling.org.uk/points?person_id=705&amp;year=2024&amp;type=national&amp;d=6","Results")</f>
        <v/>
      </c>
    </row>
    <row r="100">
      <c r="A100" t="inlineStr">
        <is>
          <t>99</t>
        </is>
      </c>
      <c r="B100" t="inlineStr">
        <is>
          <t>David Young</t>
        </is>
      </c>
      <c r="C100" t="inlineStr"/>
      <c r="D100" t="inlineStr">
        <is>
          <t>82</t>
        </is>
      </c>
      <c r="E100" s="2">
        <f>HYPERLINK("https://www.britishcycling.org.uk/points?person_id=75086&amp;year=2024&amp;type=national&amp;d=6","Results")</f>
        <v/>
      </c>
    </row>
    <row r="101">
      <c r="A101" t="inlineStr">
        <is>
          <t>100</t>
        </is>
      </c>
      <c r="B101" t="inlineStr">
        <is>
          <t>Anthony Jones</t>
        </is>
      </c>
      <c r="C101" t="inlineStr">
        <is>
          <t>Knottingley Velo</t>
        </is>
      </c>
      <c r="D101" t="inlineStr">
        <is>
          <t>81</t>
        </is>
      </c>
      <c r="E101" s="2">
        <f>HYPERLINK("https://www.britishcycling.org.uk/points?person_id=19597&amp;year=2024&amp;type=national&amp;d=6","Results")</f>
        <v/>
      </c>
    </row>
    <row r="102">
      <c r="A102" t="inlineStr">
        <is>
          <t>101</t>
        </is>
      </c>
      <c r="B102" t="inlineStr">
        <is>
          <t>Mark Barnett</t>
        </is>
      </c>
      <c r="C102" t="inlineStr">
        <is>
          <t>Leslie Bike Shop-Bikers Boutique</t>
        </is>
      </c>
      <c r="D102" t="inlineStr">
        <is>
          <t>80</t>
        </is>
      </c>
      <c r="E102" s="2">
        <f>HYPERLINK("https://www.britishcycling.org.uk/points?person_id=103548&amp;year=2024&amp;type=national&amp;d=6","Results")</f>
        <v/>
      </c>
    </row>
    <row r="103">
      <c r="A103" t="inlineStr">
        <is>
          <t>102</t>
        </is>
      </c>
      <c r="B103" t="inlineStr">
        <is>
          <t>Steven Davies</t>
        </is>
      </c>
      <c r="C103" t="inlineStr"/>
      <c r="D103" t="inlineStr">
        <is>
          <t>80</t>
        </is>
      </c>
      <c r="E103" s="2">
        <f>HYPERLINK("https://www.britishcycling.org.uk/points?person_id=16286&amp;year=2024&amp;type=national&amp;d=6","Results")</f>
        <v/>
      </c>
    </row>
    <row r="104">
      <c r="A104" t="inlineStr">
        <is>
          <t>103</t>
        </is>
      </c>
      <c r="B104" t="inlineStr">
        <is>
          <t>Kenny Kentley</t>
        </is>
      </c>
      <c r="C104" t="inlineStr">
        <is>
          <t>Velocity 44 RT</t>
        </is>
      </c>
      <c r="D104" t="inlineStr">
        <is>
          <t>80</t>
        </is>
      </c>
      <c r="E104" s="2">
        <f>HYPERLINK("https://www.britishcycling.org.uk/points?person_id=5610&amp;year=2024&amp;type=national&amp;d=6","Results")</f>
        <v/>
      </c>
    </row>
    <row r="105">
      <c r="A105" t="inlineStr">
        <is>
          <t>104</t>
        </is>
      </c>
      <c r="B105" t="inlineStr">
        <is>
          <t>Steve Shepherd</t>
        </is>
      </c>
      <c r="C105" t="inlineStr"/>
      <c r="D105" t="inlineStr">
        <is>
          <t>80</t>
        </is>
      </c>
      <c r="E105" s="2">
        <f>HYPERLINK("https://www.britishcycling.org.uk/points?person_id=69953&amp;year=2024&amp;type=national&amp;d=6","Results")</f>
        <v/>
      </c>
    </row>
    <row r="106">
      <c r="A106" t="inlineStr">
        <is>
          <t>105</t>
        </is>
      </c>
      <c r="B106" t="inlineStr">
        <is>
          <t>Robert Palmer</t>
        </is>
      </c>
      <c r="C106" t="inlineStr"/>
      <c r="D106" t="inlineStr">
        <is>
          <t>78</t>
        </is>
      </c>
      <c r="E106" s="2">
        <f>HYPERLINK("https://www.britishcycling.org.uk/points?person_id=184334&amp;year=2024&amp;type=national&amp;d=6","Results")</f>
        <v/>
      </c>
    </row>
    <row r="107">
      <c r="A107" t="inlineStr">
        <is>
          <t>106</t>
        </is>
      </c>
      <c r="B107" t="inlineStr">
        <is>
          <t>Clive Powell</t>
        </is>
      </c>
      <c r="C107" t="inlineStr"/>
      <c r="D107" t="inlineStr">
        <is>
          <t>78</t>
        </is>
      </c>
      <c r="E107" s="2">
        <f>HYPERLINK("https://www.britishcycling.org.uk/points?person_id=70052&amp;year=2024&amp;type=national&amp;d=6","Results")</f>
        <v/>
      </c>
    </row>
    <row r="108">
      <c r="A108" t="inlineStr">
        <is>
          <t>107</t>
        </is>
      </c>
      <c r="B108" t="inlineStr">
        <is>
          <t>James Dickinson</t>
        </is>
      </c>
      <c r="C108" t="inlineStr"/>
      <c r="D108" t="inlineStr">
        <is>
          <t>77</t>
        </is>
      </c>
      <c r="E108" s="2">
        <f>HYPERLINK("https://www.britishcycling.org.uk/points?person_id=611216&amp;year=2024&amp;type=national&amp;d=6","Results")</f>
        <v/>
      </c>
    </row>
    <row r="109">
      <c r="A109" t="inlineStr">
        <is>
          <t>108</t>
        </is>
      </c>
      <c r="B109" t="inlineStr">
        <is>
          <t>Peter Mooney</t>
        </is>
      </c>
      <c r="C109" t="inlineStr">
        <is>
          <t>Rugby Velo</t>
        </is>
      </c>
      <c r="D109" t="inlineStr">
        <is>
          <t>77</t>
        </is>
      </c>
      <c r="E109" s="2">
        <f>HYPERLINK("https://www.britishcycling.org.uk/points?person_id=65180&amp;year=2024&amp;type=national&amp;d=6","Results")</f>
        <v/>
      </c>
    </row>
    <row r="110">
      <c r="A110" t="inlineStr">
        <is>
          <t>109</t>
        </is>
      </c>
      <c r="B110" t="inlineStr">
        <is>
          <t>Peter Anderson</t>
        </is>
      </c>
      <c r="C110" t="inlineStr">
        <is>
          <t>Seacroft Wheelers</t>
        </is>
      </c>
      <c r="D110" t="inlineStr">
        <is>
          <t>76</t>
        </is>
      </c>
      <c r="E110" s="2">
        <f>HYPERLINK("https://www.britishcycling.org.uk/points?person_id=9189&amp;year=2024&amp;type=national&amp;d=6","Results")</f>
        <v/>
      </c>
    </row>
    <row r="111">
      <c r="A111" t="inlineStr">
        <is>
          <t>110</t>
        </is>
      </c>
      <c r="B111" t="inlineStr">
        <is>
          <t>Paul Loosemore</t>
        </is>
      </c>
      <c r="C111" t="inlineStr">
        <is>
          <t>Magspeed Racing</t>
        </is>
      </c>
      <c r="D111" t="inlineStr">
        <is>
          <t>76</t>
        </is>
      </c>
      <c r="E111" s="2">
        <f>HYPERLINK("https://www.britishcycling.org.uk/points?person_id=11595&amp;year=2024&amp;type=national&amp;d=6","Results")</f>
        <v/>
      </c>
    </row>
    <row r="112">
      <c r="A112" t="inlineStr">
        <is>
          <t>111</t>
        </is>
      </c>
      <c r="B112" t="inlineStr">
        <is>
          <t>Philip Roach</t>
        </is>
      </c>
      <c r="C112" t="inlineStr">
        <is>
          <t>Team Enable MI Racing</t>
        </is>
      </c>
      <c r="D112" t="inlineStr">
        <is>
          <t>76</t>
        </is>
      </c>
      <c r="E112" s="2">
        <f>HYPERLINK("https://www.britishcycling.org.uk/points?person_id=64679&amp;year=2024&amp;type=national&amp;d=6","Results")</f>
        <v/>
      </c>
    </row>
    <row r="113">
      <c r="A113" t="inlineStr">
        <is>
          <t>112</t>
        </is>
      </c>
      <c r="B113" t="inlineStr">
        <is>
          <t>Dave McMullen</t>
        </is>
      </c>
      <c r="C113" t="inlineStr">
        <is>
          <t>Cotswold Veldrijden</t>
        </is>
      </c>
      <c r="D113" t="inlineStr">
        <is>
          <t>72</t>
        </is>
      </c>
      <c r="E113" s="2">
        <f>HYPERLINK("https://www.britishcycling.org.uk/points?person_id=78823&amp;year=2024&amp;type=national&amp;d=6","Results")</f>
        <v/>
      </c>
    </row>
    <row r="114">
      <c r="A114" t="inlineStr">
        <is>
          <t>113</t>
        </is>
      </c>
      <c r="B114" t="inlineStr">
        <is>
          <t>Michael Taylor</t>
        </is>
      </c>
      <c r="C114" t="inlineStr">
        <is>
          <t>Rossendale Cycling Club</t>
        </is>
      </c>
      <c r="D114" t="inlineStr">
        <is>
          <t>72</t>
        </is>
      </c>
      <c r="E114" s="2">
        <f>HYPERLINK("https://www.britishcycling.org.uk/points?person_id=139974&amp;year=2024&amp;type=national&amp;d=6","Results")</f>
        <v/>
      </c>
    </row>
    <row r="115">
      <c r="A115" t="inlineStr">
        <is>
          <t>114</t>
        </is>
      </c>
      <c r="B115" t="inlineStr">
        <is>
          <t>Kevin Jennings</t>
        </is>
      </c>
      <c r="C115" t="inlineStr">
        <is>
          <t>Cambridge CC</t>
        </is>
      </c>
      <c r="D115" t="inlineStr">
        <is>
          <t>71</t>
        </is>
      </c>
      <c r="E115" s="2">
        <f>HYPERLINK("https://www.britishcycling.org.uk/points?person_id=38244&amp;year=2024&amp;type=national&amp;d=6","Results")</f>
        <v/>
      </c>
    </row>
    <row r="116">
      <c r="A116" t="inlineStr">
        <is>
          <t>115</t>
        </is>
      </c>
      <c r="B116" t="inlineStr">
        <is>
          <t>Harvey Levann</t>
        </is>
      </c>
      <c r="C116" t="inlineStr">
        <is>
          <t>Pedal Power Loughborough</t>
        </is>
      </c>
      <c r="D116" t="inlineStr">
        <is>
          <t>70</t>
        </is>
      </c>
      <c r="E116" s="2">
        <f>HYPERLINK("https://www.britishcycling.org.uk/points?person_id=17580&amp;year=2024&amp;type=national&amp;d=6","Results")</f>
        <v/>
      </c>
    </row>
    <row r="117">
      <c r="A117" t="inlineStr">
        <is>
          <t>116</t>
        </is>
      </c>
      <c r="B117" t="inlineStr">
        <is>
          <t>Steven Jenkyn</t>
        </is>
      </c>
      <c r="C117" t="inlineStr">
        <is>
          <t>Pedal Power Loughborough</t>
        </is>
      </c>
      <c r="D117" t="inlineStr">
        <is>
          <t>68</t>
        </is>
      </c>
      <c r="E117" s="2">
        <f>HYPERLINK("https://www.britishcycling.org.uk/points?person_id=392943&amp;year=2024&amp;type=national&amp;d=6","Results")</f>
        <v/>
      </c>
    </row>
    <row r="118">
      <c r="A118" t="inlineStr">
        <is>
          <t>117</t>
        </is>
      </c>
      <c r="B118" t="inlineStr">
        <is>
          <t>Simon Tottle</t>
        </is>
      </c>
      <c r="C118" t="inlineStr"/>
      <c r="D118" t="inlineStr">
        <is>
          <t>68</t>
        </is>
      </c>
      <c r="E118" s="2">
        <f>HYPERLINK("https://www.britishcycling.org.uk/points?person_id=180730&amp;year=2024&amp;type=national&amp;d=6","Results")</f>
        <v/>
      </c>
    </row>
    <row r="119">
      <c r="A119" t="inlineStr">
        <is>
          <t>118</t>
        </is>
      </c>
      <c r="B119" t="inlineStr">
        <is>
          <t>Robin Worman</t>
        </is>
      </c>
      <c r="C119" t="inlineStr"/>
      <c r="D119" t="inlineStr">
        <is>
          <t>68</t>
        </is>
      </c>
      <c r="E119" s="2">
        <f>HYPERLINK("https://www.britishcycling.org.uk/points?person_id=43307&amp;year=2024&amp;type=national&amp;d=6","Results")</f>
        <v/>
      </c>
    </row>
    <row r="120">
      <c r="A120" t="inlineStr">
        <is>
          <t>119</t>
        </is>
      </c>
      <c r="B120" t="inlineStr">
        <is>
          <t>Joseph Booth</t>
        </is>
      </c>
      <c r="C120" t="inlineStr">
        <is>
          <t>Dulwich Paragon CC</t>
        </is>
      </c>
      <c r="D120" t="inlineStr">
        <is>
          <t>67</t>
        </is>
      </c>
      <c r="E120" s="2">
        <f>HYPERLINK("https://www.britishcycling.org.uk/points?person_id=179473&amp;year=2024&amp;type=national&amp;d=6","Results")</f>
        <v/>
      </c>
    </row>
    <row r="121">
      <c r="A121" t="inlineStr">
        <is>
          <t>120</t>
        </is>
      </c>
      <c r="B121" t="inlineStr">
        <is>
          <t>Howard Perkins</t>
        </is>
      </c>
      <c r="C121" t="inlineStr"/>
      <c r="D121" t="inlineStr">
        <is>
          <t>63</t>
        </is>
      </c>
      <c r="E121" s="2">
        <f>HYPERLINK("https://www.britishcycling.org.uk/points?person_id=42186&amp;year=2024&amp;type=national&amp;d=6","Results")</f>
        <v/>
      </c>
    </row>
    <row r="122">
      <c r="A122" t="inlineStr">
        <is>
          <t>121</t>
        </is>
      </c>
      <c r="B122" t="inlineStr">
        <is>
          <t>Simon Scarsbrook</t>
        </is>
      </c>
      <c r="C122" t="inlineStr">
        <is>
          <t>C and N Cycles RT</t>
        </is>
      </c>
      <c r="D122" t="inlineStr">
        <is>
          <t>62</t>
        </is>
      </c>
      <c r="E122" s="2">
        <f>HYPERLINK("https://www.britishcycling.org.uk/points?person_id=52268&amp;year=2024&amp;type=national&amp;d=6","Results")</f>
        <v/>
      </c>
    </row>
    <row r="123">
      <c r="A123" t="inlineStr">
        <is>
          <t>122</t>
        </is>
      </c>
      <c r="B123" t="inlineStr">
        <is>
          <t>Colin Shearer</t>
        </is>
      </c>
      <c r="C123" t="inlineStr">
        <is>
          <t>Musselburgh RCC</t>
        </is>
      </c>
      <c r="D123" t="inlineStr">
        <is>
          <t>62</t>
        </is>
      </c>
      <c r="E123" s="2">
        <f>HYPERLINK("https://www.britishcycling.org.uk/points?person_id=71218&amp;year=2024&amp;type=national&amp;d=6","Results")</f>
        <v/>
      </c>
    </row>
    <row r="124">
      <c r="A124" t="inlineStr">
        <is>
          <t>123</t>
        </is>
      </c>
      <c r="B124" t="inlineStr">
        <is>
          <t>Graham Gauld</t>
        </is>
      </c>
      <c r="C124" t="inlineStr">
        <is>
          <t>Deeside Thistle CC</t>
        </is>
      </c>
      <c r="D124" t="inlineStr">
        <is>
          <t>61</t>
        </is>
      </c>
      <c r="E124" s="2">
        <f>HYPERLINK("https://www.britishcycling.org.uk/points?person_id=6803&amp;year=2024&amp;type=national&amp;d=6","Results")</f>
        <v/>
      </c>
    </row>
    <row r="125">
      <c r="A125" t="inlineStr">
        <is>
          <t>124</t>
        </is>
      </c>
      <c r="B125" t="inlineStr">
        <is>
          <t>Michael Dobson</t>
        </is>
      </c>
      <c r="C125" t="inlineStr">
        <is>
          <t>Wolverhampton Wheelers</t>
        </is>
      </c>
      <c r="D125" t="inlineStr">
        <is>
          <t>60</t>
        </is>
      </c>
      <c r="E125" s="2">
        <f>HYPERLINK("https://www.britishcycling.org.uk/points?person_id=707019&amp;year=2024&amp;type=national&amp;d=6","Results")</f>
        <v/>
      </c>
    </row>
    <row r="126">
      <c r="A126" t="inlineStr">
        <is>
          <t>125</t>
        </is>
      </c>
      <c r="B126" t="inlineStr">
        <is>
          <t>Jeremy Martin</t>
        </is>
      </c>
      <c r="C126" t="inlineStr">
        <is>
          <t>Saint Piran Delivra</t>
        </is>
      </c>
      <c r="D126" t="inlineStr">
        <is>
          <t>59</t>
        </is>
      </c>
      <c r="E126" s="2">
        <f>HYPERLINK("https://www.britishcycling.org.uk/points?person_id=623836&amp;year=2024&amp;type=national&amp;d=6","Results")</f>
        <v/>
      </c>
    </row>
    <row r="127">
      <c r="A127" t="inlineStr">
        <is>
          <t>126</t>
        </is>
      </c>
      <c r="B127" t="inlineStr">
        <is>
          <t>Kevin Bodley</t>
        </is>
      </c>
      <c r="C127" t="inlineStr"/>
      <c r="D127" t="inlineStr">
        <is>
          <t>58</t>
        </is>
      </c>
      <c r="E127" s="2">
        <f>HYPERLINK("https://www.britishcycling.org.uk/points?person_id=3460&amp;year=2024&amp;type=national&amp;d=6","Results")</f>
        <v/>
      </c>
    </row>
    <row r="128">
      <c r="A128" t="inlineStr">
        <is>
          <t>127</t>
        </is>
      </c>
      <c r="B128" t="inlineStr">
        <is>
          <t>Alistair Dow</t>
        </is>
      </c>
      <c r="C128" t="inlineStr">
        <is>
          <t>Peebles CC</t>
        </is>
      </c>
      <c r="D128" t="inlineStr">
        <is>
          <t>58</t>
        </is>
      </c>
      <c r="E128" s="2">
        <f>HYPERLINK("https://www.britishcycling.org.uk/points?person_id=63434&amp;year=2024&amp;type=national&amp;d=6","Results")</f>
        <v/>
      </c>
    </row>
    <row r="129">
      <c r="A129" t="inlineStr">
        <is>
          <t>128</t>
        </is>
      </c>
      <c r="B129" t="inlineStr">
        <is>
          <t>Gregor Grant</t>
        </is>
      </c>
      <c r="C129" t="inlineStr">
        <is>
          <t>Moray Firth Cycling Club</t>
        </is>
      </c>
      <c r="D129" t="inlineStr">
        <is>
          <t>58</t>
        </is>
      </c>
      <c r="E129" s="2">
        <f>HYPERLINK("https://www.britishcycling.org.uk/points?person_id=74927&amp;year=2024&amp;type=national&amp;d=6","Results")</f>
        <v/>
      </c>
    </row>
    <row r="130">
      <c r="A130" t="inlineStr">
        <is>
          <t>129</t>
        </is>
      </c>
      <c r="B130" t="inlineStr">
        <is>
          <t>Edric Hobbs</t>
        </is>
      </c>
      <c r="C130" t="inlineStr">
        <is>
          <t>Somer Valley CC</t>
        </is>
      </c>
      <c r="D130" t="inlineStr">
        <is>
          <t>58</t>
        </is>
      </c>
      <c r="E130" s="2">
        <f>HYPERLINK("https://www.britishcycling.org.uk/points?person_id=1032818&amp;year=2024&amp;type=national&amp;d=6","Results")</f>
        <v/>
      </c>
    </row>
    <row r="131">
      <c r="A131" t="inlineStr">
        <is>
          <t>130</t>
        </is>
      </c>
      <c r="B131" t="inlineStr">
        <is>
          <t>Tom Nicholson</t>
        </is>
      </c>
      <c r="C131" t="inlineStr">
        <is>
          <t>Hoddom Velo</t>
        </is>
      </c>
      <c r="D131" t="inlineStr">
        <is>
          <t>58</t>
        </is>
      </c>
      <c r="E131" s="2">
        <f>HYPERLINK("https://www.britishcycling.org.uk/points?person_id=243597&amp;year=2024&amp;type=national&amp;d=6","Results")</f>
        <v/>
      </c>
    </row>
    <row r="132">
      <c r="A132" t="inlineStr">
        <is>
          <t>131</t>
        </is>
      </c>
      <c r="B132" t="inlineStr">
        <is>
          <t>Derek Schofield</t>
        </is>
      </c>
      <c r="C132" t="inlineStr">
        <is>
          <t>Rossendale Cycling Club</t>
        </is>
      </c>
      <c r="D132" t="inlineStr">
        <is>
          <t>58</t>
        </is>
      </c>
      <c r="E132" s="2">
        <f>HYPERLINK("https://www.britishcycling.org.uk/points?person_id=8720&amp;year=2024&amp;type=national&amp;d=6","Results")</f>
        <v/>
      </c>
    </row>
    <row r="133">
      <c r="A133" t="inlineStr">
        <is>
          <t>132</t>
        </is>
      </c>
      <c r="B133" t="inlineStr">
        <is>
          <t>Graham Atkins</t>
        </is>
      </c>
      <c r="C133" t="inlineStr"/>
      <c r="D133" t="inlineStr">
        <is>
          <t>57</t>
        </is>
      </c>
      <c r="E133" s="2">
        <f>HYPERLINK("https://www.britishcycling.org.uk/points?person_id=34417&amp;year=2024&amp;type=national&amp;d=6","Results")</f>
        <v/>
      </c>
    </row>
    <row r="134">
      <c r="A134" t="inlineStr">
        <is>
          <t>133</t>
        </is>
      </c>
      <c r="B134" t="inlineStr">
        <is>
          <t>Alan Kingshott</t>
        </is>
      </c>
      <c r="C134" t="inlineStr">
        <is>
          <t>Solent Pirates</t>
        </is>
      </c>
      <c r="D134" t="inlineStr">
        <is>
          <t>55</t>
        </is>
      </c>
      <c r="E134" s="2">
        <f>HYPERLINK("https://www.britishcycling.org.uk/points?person_id=408191&amp;year=2024&amp;type=national&amp;d=6","Results")</f>
        <v/>
      </c>
    </row>
    <row r="135">
      <c r="A135" t="inlineStr">
        <is>
          <t>134</t>
        </is>
      </c>
      <c r="B135" t="inlineStr">
        <is>
          <t>Christopher Thacker</t>
        </is>
      </c>
      <c r="C135" t="inlineStr">
        <is>
          <t>Team Empella</t>
        </is>
      </c>
      <c r="D135" t="inlineStr">
        <is>
          <t>55</t>
        </is>
      </c>
      <c r="E135" s="2">
        <f>HYPERLINK("https://www.britishcycling.org.uk/points?person_id=48750&amp;year=2024&amp;type=national&amp;d=6","Results")</f>
        <v/>
      </c>
    </row>
    <row r="136">
      <c r="A136" t="inlineStr">
        <is>
          <t>135</t>
        </is>
      </c>
      <c r="B136" t="inlineStr">
        <is>
          <t>Clive Goadby</t>
        </is>
      </c>
      <c r="C136" t="inlineStr">
        <is>
          <t>Dulwich Paragon CC</t>
        </is>
      </c>
      <c r="D136" t="inlineStr">
        <is>
          <t>54</t>
        </is>
      </c>
      <c r="E136" s="2">
        <f>HYPERLINK("https://www.britishcycling.org.uk/points?person_id=267463&amp;year=2024&amp;type=national&amp;d=6","Results")</f>
        <v/>
      </c>
    </row>
    <row r="137">
      <c r="A137" t="inlineStr">
        <is>
          <t>136</t>
        </is>
      </c>
      <c r="B137" t="inlineStr">
        <is>
          <t>Andrew King</t>
        </is>
      </c>
      <c r="C137" t="inlineStr">
        <is>
          <t>Kettering CC</t>
        </is>
      </c>
      <c r="D137" t="inlineStr">
        <is>
          <t>54</t>
        </is>
      </c>
      <c r="E137" s="2">
        <f>HYPERLINK("https://www.britishcycling.org.uk/points?person_id=3015&amp;year=2024&amp;type=national&amp;d=6","Results")</f>
        <v/>
      </c>
    </row>
    <row r="138">
      <c r="A138" t="inlineStr">
        <is>
          <t>137</t>
        </is>
      </c>
      <c r="B138" t="inlineStr">
        <is>
          <t>Andrew Martin</t>
        </is>
      </c>
      <c r="C138" t="inlineStr">
        <is>
          <t>Falkirk Bicycle Club</t>
        </is>
      </c>
      <c r="D138" t="inlineStr">
        <is>
          <t>54</t>
        </is>
      </c>
      <c r="E138" s="2">
        <f>HYPERLINK("https://www.britishcycling.org.uk/points?person_id=177659&amp;year=2024&amp;type=national&amp;d=6","Results")</f>
        <v/>
      </c>
    </row>
    <row r="139">
      <c r="A139" t="inlineStr">
        <is>
          <t>138</t>
        </is>
      </c>
      <c r="B139" t="inlineStr">
        <is>
          <t>Martyn Hughes-Dowdle</t>
        </is>
      </c>
      <c r="C139" t="inlineStr">
        <is>
          <t>Gower Riders</t>
        </is>
      </c>
      <c r="D139" t="inlineStr">
        <is>
          <t>52</t>
        </is>
      </c>
      <c r="E139" s="2">
        <f>HYPERLINK("https://www.britishcycling.org.uk/points?person_id=10609&amp;year=2024&amp;type=national&amp;d=6","Results")</f>
        <v/>
      </c>
    </row>
    <row r="140">
      <c r="A140" t="inlineStr">
        <is>
          <t>139</t>
        </is>
      </c>
      <c r="B140" t="inlineStr">
        <is>
          <t>David Poole</t>
        </is>
      </c>
      <c r="C140" t="inlineStr">
        <is>
          <t>Bridgwater Cycling Club</t>
        </is>
      </c>
      <c r="D140" t="inlineStr">
        <is>
          <t>52</t>
        </is>
      </c>
      <c r="E140" s="2">
        <f>HYPERLINK("https://www.britishcycling.org.uk/points?person_id=27395&amp;year=2024&amp;type=national&amp;d=6","Results")</f>
        <v/>
      </c>
    </row>
    <row r="141">
      <c r="A141" t="inlineStr">
        <is>
          <t>140</t>
        </is>
      </c>
      <c r="B141" t="inlineStr">
        <is>
          <t>Nick Edelsten</t>
        </is>
      </c>
      <c r="C141" t="inlineStr"/>
      <c r="D141" t="inlineStr">
        <is>
          <t>48</t>
        </is>
      </c>
      <c r="E141" s="2">
        <f>HYPERLINK("https://www.britishcycling.org.uk/points?person_id=402229&amp;year=2024&amp;type=national&amp;d=6","Results")</f>
        <v/>
      </c>
    </row>
    <row r="142">
      <c r="A142" t="inlineStr">
        <is>
          <t>141</t>
        </is>
      </c>
      <c r="B142" t="inlineStr">
        <is>
          <t>Peter Stagg</t>
        </is>
      </c>
      <c r="C142" t="inlineStr"/>
      <c r="D142" t="inlineStr">
        <is>
          <t>48</t>
        </is>
      </c>
      <c r="E142" s="2">
        <f>HYPERLINK("https://www.britishcycling.org.uk/points?person_id=1129135&amp;year=2024&amp;type=national&amp;d=6","Results")</f>
        <v/>
      </c>
    </row>
    <row r="143">
      <c r="A143" t="inlineStr">
        <is>
          <t>142</t>
        </is>
      </c>
      <c r="B143" t="inlineStr">
        <is>
          <t>John Simpson</t>
        </is>
      </c>
      <c r="C143" t="inlineStr">
        <is>
          <t>VC Deal</t>
        </is>
      </c>
      <c r="D143" t="inlineStr">
        <is>
          <t>47</t>
        </is>
      </c>
      <c r="E143" s="2">
        <f>HYPERLINK("https://www.britishcycling.org.uk/points?person_id=61196&amp;year=2024&amp;type=national&amp;d=6","Results")</f>
        <v/>
      </c>
    </row>
    <row r="144">
      <c r="A144" t="inlineStr">
        <is>
          <t>143</t>
        </is>
      </c>
      <c r="B144" t="inlineStr">
        <is>
          <t>Pascal Arnoux</t>
        </is>
      </c>
      <c r="C144" t="inlineStr">
        <is>
          <t>www.Zepnat.com RT - Lazer Helmets</t>
        </is>
      </c>
      <c r="D144" t="inlineStr">
        <is>
          <t>44</t>
        </is>
      </c>
      <c r="E144" s="2">
        <f>HYPERLINK("https://www.britishcycling.org.uk/points?person_id=99839&amp;year=2024&amp;type=national&amp;d=6","Results")</f>
        <v/>
      </c>
    </row>
    <row r="145">
      <c r="A145" t="inlineStr">
        <is>
          <t>144</t>
        </is>
      </c>
      <c r="B145" t="inlineStr">
        <is>
          <t>Mark Hardwicke</t>
        </is>
      </c>
      <c r="C145" t="inlineStr">
        <is>
          <t>Poole Wheelers CC</t>
        </is>
      </c>
      <c r="D145" t="inlineStr">
        <is>
          <t>43</t>
        </is>
      </c>
      <c r="E145" s="2">
        <f>HYPERLINK("https://www.britishcycling.org.uk/points?person_id=48376&amp;year=2024&amp;type=national&amp;d=6","Results")</f>
        <v/>
      </c>
    </row>
    <row r="146">
      <c r="A146" t="inlineStr">
        <is>
          <t>145</t>
        </is>
      </c>
      <c r="B146" t="inlineStr">
        <is>
          <t>Mark Langley</t>
        </is>
      </c>
      <c r="C146" t="inlineStr"/>
      <c r="D146" t="inlineStr">
        <is>
          <t>42</t>
        </is>
      </c>
      <c r="E146" s="2">
        <f>HYPERLINK("https://www.britishcycling.org.uk/points?person_id=261023&amp;year=2024&amp;type=national&amp;d=6","Results")</f>
        <v/>
      </c>
    </row>
    <row r="147">
      <c r="A147" t="inlineStr">
        <is>
          <t>146</t>
        </is>
      </c>
      <c r="B147" t="inlineStr">
        <is>
          <t>Victor Barnett</t>
        </is>
      </c>
      <c r="C147" t="inlineStr">
        <is>
          <t>Welland Valley CC</t>
        </is>
      </c>
      <c r="D147" t="inlineStr">
        <is>
          <t>41</t>
        </is>
      </c>
      <c r="E147" s="2">
        <f>HYPERLINK("https://www.britishcycling.org.uk/points?person_id=31091&amp;year=2024&amp;type=national&amp;d=6","Results")</f>
        <v/>
      </c>
    </row>
    <row r="148">
      <c r="A148" t="inlineStr">
        <is>
          <t>147</t>
        </is>
      </c>
      <c r="B148" t="inlineStr">
        <is>
          <t>Patrick Stokes</t>
        </is>
      </c>
      <c r="C148" t="inlineStr"/>
      <c r="D148" t="inlineStr">
        <is>
          <t>41</t>
        </is>
      </c>
      <c r="E148" s="2">
        <f>HYPERLINK("https://www.britishcycling.org.uk/points?person_id=11666&amp;year=2024&amp;type=national&amp;d=6","Results")</f>
        <v/>
      </c>
    </row>
    <row r="149">
      <c r="A149" t="inlineStr">
        <is>
          <t>148</t>
        </is>
      </c>
      <c r="B149" t="inlineStr">
        <is>
          <t>Tony Carter</t>
        </is>
      </c>
      <c r="C149" t="inlineStr"/>
      <c r="D149" t="inlineStr">
        <is>
          <t>40</t>
        </is>
      </c>
      <c r="E149" s="2">
        <f>HYPERLINK("https://www.britishcycling.org.uk/points?person_id=826163&amp;year=2024&amp;type=national&amp;d=6","Results")</f>
        <v/>
      </c>
    </row>
    <row r="150">
      <c r="A150" t="inlineStr">
        <is>
          <t>149</t>
        </is>
      </c>
      <c r="B150" t="inlineStr">
        <is>
          <t>Alistair Hardy</t>
        </is>
      </c>
      <c r="C150" t="inlineStr">
        <is>
          <t>Cheltenham &amp; County Cycling Club</t>
        </is>
      </c>
      <c r="D150" t="inlineStr">
        <is>
          <t>40</t>
        </is>
      </c>
      <c r="E150" s="2">
        <f>HYPERLINK("https://www.britishcycling.org.uk/points?person_id=347575&amp;year=2024&amp;type=national&amp;d=6","Results")</f>
        <v/>
      </c>
    </row>
    <row r="151">
      <c r="A151" t="inlineStr">
        <is>
          <t>150</t>
        </is>
      </c>
      <c r="B151" t="inlineStr">
        <is>
          <t>John Risby</t>
        </is>
      </c>
      <c r="C151" t="inlineStr">
        <is>
          <t>Team Milton Keynes</t>
        </is>
      </c>
      <c r="D151" t="inlineStr">
        <is>
          <t>40</t>
        </is>
      </c>
      <c r="E151" s="2">
        <f>HYPERLINK("https://www.britishcycling.org.uk/points?person_id=516298&amp;year=2024&amp;type=national&amp;d=6","Results")</f>
        <v/>
      </c>
    </row>
    <row r="152">
      <c r="A152" t="inlineStr">
        <is>
          <t>151</t>
        </is>
      </c>
      <c r="B152" t="inlineStr">
        <is>
          <t>Owen Henriksen</t>
        </is>
      </c>
      <c r="C152" t="inlineStr">
        <is>
          <t>Norton Wheelers</t>
        </is>
      </c>
      <c r="D152" t="inlineStr">
        <is>
          <t>39</t>
        </is>
      </c>
      <c r="E152" s="2">
        <f>HYPERLINK("https://www.britishcycling.org.uk/points?person_id=66389&amp;year=2024&amp;type=national&amp;d=6","Results")</f>
        <v/>
      </c>
    </row>
    <row r="153">
      <c r="A153" t="inlineStr">
        <is>
          <t>152</t>
        </is>
      </c>
      <c r="B153" t="inlineStr">
        <is>
          <t>Pete Bishop</t>
        </is>
      </c>
      <c r="C153" t="inlineStr">
        <is>
          <t>Exeter Wheelers</t>
        </is>
      </c>
      <c r="D153" t="inlineStr">
        <is>
          <t>38</t>
        </is>
      </c>
      <c r="E153" s="2">
        <f>HYPERLINK("https://www.britishcycling.org.uk/points?person_id=528618&amp;year=2024&amp;type=national&amp;d=6","Results")</f>
        <v/>
      </c>
    </row>
    <row r="154">
      <c r="A154" t="inlineStr">
        <is>
          <t>153</t>
        </is>
      </c>
      <c r="B154" t="inlineStr">
        <is>
          <t>David Jones</t>
        </is>
      </c>
      <c r="C154" t="inlineStr">
        <is>
          <t>St Helens CRC</t>
        </is>
      </c>
      <c r="D154" t="inlineStr">
        <is>
          <t>38</t>
        </is>
      </c>
      <c r="E154" s="2">
        <f>HYPERLINK("https://www.britishcycling.org.uk/points?person_id=190691&amp;year=2024&amp;type=national&amp;d=6","Results")</f>
        <v/>
      </c>
    </row>
    <row r="155">
      <c r="A155" t="inlineStr">
        <is>
          <t>154</t>
        </is>
      </c>
      <c r="B155" t="inlineStr">
        <is>
          <t>Jan Shearsmith</t>
        </is>
      </c>
      <c r="C155" t="inlineStr">
        <is>
          <t>Manchester Wheelers Club</t>
        </is>
      </c>
      <c r="D155" t="inlineStr">
        <is>
          <t>37</t>
        </is>
      </c>
      <c r="E155" s="2">
        <f>HYPERLINK("https://www.britishcycling.org.uk/points?person_id=20026&amp;year=2024&amp;type=national&amp;d=6","Results")</f>
        <v/>
      </c>
    </row>
    <row r="156">
      <c r="A156" t="inlineStr">
        <is>
          <t>155</t>
        </is>
      </c>
      <c r="B156" t="inlineStr">
        <is>
          <t>Michael Smith</t>
        </is>
      </c>
      <c r="C156" t="inlineStr"/>
      <c r="D156" t="inlineStr">
        <is>
          <t>37</t>
        </is>
      </c>
      <c r="E156" s="2">
        <f>HYPERLINK("https://www.britishcycling.org.uk/points?person_id=350269&amp;year=2024&amp;type=national&amp;d=6","Results")</f>
        <v/>
      </c>
    </row>
    <row r="157">
      <c r="A157" t="inlineStr">
        <is>
          <t>156</t>
        </is>
      </c>
      <c r="B157" t="inlineStr">
        <is>
          <t>Greg Vallance</t>
        </is>
      </c>
      <c r="C157" t="inlineStr">
        <is>
          <t>Cheshire Maverick CC</t>
        </is>
      </c>
      <c r="D157" t="inlineStr">
        <is>
          <t>37</t>
        </is>
      </c>
      <c r="E157" s="2">
        <f>HYPERLINK("https://www.britishcycling.org.uk/points?person_id=228566&amp;year=2024&amp;type=national&amp;d=6","Results")</f>
        <v/>
      </c>
    </row>
    <row r="158">
      <c r="A158" t="inlineStr">
        <is>
          <t>157</t>
        </is>
      </c>
      <c r="B158" t="inlineStr">
        <is>
          <t>Peter Payton</t>
        </is>
      </c>
      <c r="C158" t="inlineStr"/>
      <c r="D158" t="inlineStr">
        <is>
          <t>36</t>
        </is>
      </c>
      <c r="E158" s="2">
        <f>HYPERLINK("https://www.britishcycling.org.uk/points?person_id=102716&amp;year=2024&amp;type=national&amp;d=6","Results")</f>
        <v/>
      </c>
    </row>
    <row r="159">
      <c r="A159" t="inlineStr">
        <is>
          <t>158</t>
        </is>
      </c>
      <c r="B159" t="inlineStr">
        <is>
          <t>Michael Speirs</t>
        </is>
      </c>
      <c r="C159" t="inlineStr">
        <is>
          <t>Grity Race Team</t>
        </is>
      </c>
      <c r="D159" t="inlineStr">
        <is>
          <t>36</t>
        </is>
      </c>
      <c r="E159" s="2">
        <f>HYPERLINK("https://www.britishcycling.org.uk/points?person_id=38127&amp;year=2024&amp;type=national&amp;d=6","Results")</f>
        <v/>
      </c>
    </row>
    <row r="160">
      <c r="A160" t="inlineStr">
        <is>
          <t>159</t>
        </is>
      </c>
      <c r="B160" t="inlineStr">
        <is>
          <t>Roy Hunt</t>
        </is>
      </c>
      <c r="C160" t="inlineStr">
        <is>
          <t>Team Enable MI Racing</t>
        </is>
      </c>
      <c r="D160" t="inlineStr">
        <is>
          <t>34</t>
        </is>
      </c>
      <c r="E160" s="2">
        <f>HYPERLINK("https://www.britishcycling.org.uk/points?person_id=49858&amp;year=2024&amp;type=national&amp;d=6","Results")</f>
        <v/>
      </c>
    </row>
    <row r="161">
      <c r="A161" t="inlineStr">
        <is>
          <t>160</t>
        </is>
      </c>
      <c r="B161" t="inlineStr">
        <is>
          <t>Harry Moore</t>
        </is>
      </c>
      <c r="C161" t="inlineStr">
        <is>
          <t>Cycling Club Hackney</t>
        </is>
      </c>
      <c r="D161" t="inlineStr">
        <is>
          <t>34</t>
        </is>
      </c>
      <c r="E161" s="2">
        <f>HYPERLINK("https://www.britishcycling.org.uk/points?person_id=106134&amp;year=2024&amp;type=national&amp;d=6","Results")</f>
        <v/>
      </c>
    </row>
    <row r="162">
      <c r="A162" t="inlineStr">
        <is>
          <t>161</t>
        </is>
      </c>
      <c r="B162" t="inlineStr">
        <is>
          <t>Brian Nicholson</t>
        </is>
      </c>
      <c r="C162" t="inlineStr">
        <is>
          <t>Twickenham CC</t>
        </is>
      </c>
      <c r="D162" t="inlineStr">
        <is>
          <t>34</t>
        </is>
      </c>
      <c r="E162" s="2">
        <f>HYPERLINK("https://www.britishcycling.org.uk/points?person_id=1006816&amp;year=2024&amp;type=national&amp;d=6","Results")</f>
        <v/>
      </c>
    </row>
    <row r="163">
      <c r="A163" t="inlineStr">
        <is>
          <t>162</t>
        </is>
      </c>
      <c r="B163" t="inlineStr">
        <is>
          <t>Neil Irons</t>
        </is>
      </c>
      <c r="C163" t="inlineStr">
        <is>
          <t>Cycling Club Hackney</t>
        </is>
      </c>
      <c r="D163" t="inlineStr">
        <is>
          <t>33</t>
        </is>
      </c>
      <c r="E163" s="2">
        <f>HYPERLINK("https://www.britishcycling.org.uk/points?person_id=108535&amp;year=2024&amp;type=national&amp;d=6","Results")</f>
        <v/>
      </c>
    </row>
    <row r="164">
      <c r="A164" t="inlineStr">
        <is>
          <t>163</t>
        </is>
      </c>
      <c r="B164" t="inlineStr">
        <is>
          <t>Geoffrey Garnham</t>
        </is>
      </c>
      <c r="C164" t="inlineStr"/>
      <c r="D164" t="inlineStr">
        <is>
          <t>31</t>
        </is>
      </c>
      <c r="E164" s="2">
        <f>HYPERLINK("https://www.britishcycling.org.uk/points?person_id=45543&amp;year=2024&amp;type=national&amp;d=6","Results")</f>
        <v/>
      </c>
    </row>
    <row r="165">
      <c r="A165" t="inlineStr">
        <is>
          <t>164</t>
        </is>
      </c>
      <c r="B165" t="inlineStr">
        <is>
          <t>Andy Grant</t>
        </is>
      </c>
      <c r="C165" t="inlineStr">
        <is>
          <t>GS Vecchi</t>
        </is>
      </c>
      <c r="D165" t="inlineStr">
        <is>
          <t>31</t>
        </is>
      </c>
      <c r="E165" s="2">
        <f>HYPERLINK("https://www.britishcycling.org.uk/points?person_id=61651&amp;year=2024&amp;type=national&amp;d=6","Results")</f>
        <v/>
      </c>
    </row>
    <row r="166">
      <c r="A166" t="inlineStr">
        <is>
          <t>165</t>
        </is>
      </c>
      <c r="B166" t="inlineStr">
        <is>
          <t>Kirby Bennett</t>
        </is>
      </c>
      <c r="C166" t="inlineStr">
        <is>
          <t>Team Enable MI Racing</t>
        </is>
      </c>
      <c r="D166" t="inlineStr">
        <is>
          <t>30</t>
        </is>
      </c>
      <c r="E166" s="2">
        <f>HYPERLINK("https://www.britishcycling.org.uk/points?person_id=393549&amp;year=2024&amp;type=national&amp;d=6","Results")</f>
        <v/>
      </c>
    </row>
    <row r="167">
      <c r="A167" t="inlineStr">
        <is>
          <t>166</t>
        </is>
      </c>
      <c r="B167" t="inlineStr">
        <is>
          <t>Martin Eadon</t>
        </is>
      </c>
      <c r="C167" t="inlineStr"/>
      <c r="D167" t="inlineStr">
        <is>
          <t>30</t>
        </is>
      </c>
      <c r="E167" s="2">
        <f>HYPERLINK("https://www.britishcycling.org.uk/points?person_id=59585&amp;year=2024&amp;type=national&amp;d=6","Results")</f>
        <v/>
      </c>
    </row>
    <row r="168">
      <c r="A168" t="inlineStr">
        <is>
          <t>167</t>
        </is>
      </c>
      <c r="B168" t="inlineStr">
        <is>
          <t>Jeremy Toy</t>
        </is>
      </c>
      <c r="C168" t="inlineStr">
        <is>
          <t>Dundee Wheelers CC</t>
        </is>
      </c>
      <c r="D168" t="inlineStr">
        <is>
          <t>30</t>
        </is>
      </c>
      <c r="E168" s="2">
        <f>HYPERLINK("https://www.britishcycling.org.uk/points?person_id=13781&amp;year=2024&amp;type=national&amp;d=6","Results")</f>
        <v/>
      </c>
    </row>
    <row r="169">
      <c r="A169" t="inlineStr">
        <is>
          <t>168</t>
        </is>
      </c>
      <c r="B169" t="inlineStr">
        <is>
          <t>Sean Davey</t>
        </is>
      </c>
      <c r="C169" t="inlineStr">
        <is>
          <t>Newport Phoenix CC</t>
        </is>
      </c>
      <c r="D169" t="inlineStr">
        <is>
          <t>28</t>
        </is>
      </c>
      <c r="E169" s="2">
        <f>HYPERLINK("https://www.britishcycling.org.uk/points?person_id=305332&amp;year=2024&amp;type=national&amp;d=6","Results")</f>
        <v/>
      </c>
    </row>
    <row r="170">
      <c r="A170" t="inlineStr">
        <is>
          <t>169</t>
        </is>
      </c>
      <c r="B170" t="inlineStr">
        <is>
          <t>Andrew Reid</t>
        </is>
      </c>
      <c r="C170" t="inlineStr">
        <is>
          <t>Pedal Power Loughborough</t>
        </is>
      </c>
      <c r="D170" t="inlineStr">
        <is>
          <t>28</t>
        </is>
      </c>
      <c r="E170" s="2">
        <f>HYPERLINK("https://www.britishcycling.org.uk/points?person_id=72392&amp;year=2024&amp;type=national&amp;d=6","Results")</f>
        <v/>
      </c>
    </row>
    <row r="171">
      <c r="A171" t="inlineStr">
        <is>
          <t>170</t>
        </is>
      </c>
      <c r="B171" t="inlineStr">
        <is>
          <t>John Senior</t>
        </is>
      </c>
      <c r="C171" t="inlineStr">
        <is>
          <t>York Cycleworks</t>
        </is>
      </c>
      <c r="D171" t="inlineStr">
        <is>
          <t>27</t>
        </is>
      </c>
      <c r="E171" s="2">
        <f>HYPERLINK("https://www.britishcycling.org.uk/points?person_id=171242&amp;year=2024&amp;type=national&amp;d=6","Results")</f>
        <v/>
      </c>
    </row>
    <row r="172">
      <c r="A172" t="inlineStr">
        <is>
          <t>171</t>
        </is>
      </c>
      <c r="B172" t="inlineStr">
        <is>
          <t>Marek Glowinski</t>
        </is>
      </c>
      <c r="C172" t="inlineStr">
        <is>
          <t>VC Londres</t>
        </is>
      </c>
      <c r="D172" t="inlineStr">
        <is>
          <t>26</t>
        </is>
      </c>
      <c r="E172" s="2">
        <f>HYPERLINK("https://www.britishcycling.org.uk/points?person_id=53707&amp;year=2024&amp;type=national&amp;d=6","Results")</f>
        <v/>
      </c>
    </row>
    <row r="173">
      <c r="A173" t="inlineStr">
        <is>
          <t>172</t>
        </is>
      </c>
      <c r="B173" t="inlineStr">
        <is>
          <t>James Sutherland</t>
        </is>
      </c>
      <c r="C173" t="inlineStr">
        <is>
          <t>Bolsover &amp; District Cycling Club</t>
        </is>
      </c>
      <c r="D173" t="inlineStr">
        <is>
          <t>25</t>
        </is>
      </c>
      <c r="E173" s="2">
        <f>HYPERLINK("https://www.britishcycling.org.uk/points?person_id=206346&amp;year=2024&amp;type=national&amp;d=6","Results")</f>
        <v/>
      </c>
    </row>
    <row r="174">
      <c r="A174" t="inlineStr">
        <is>
          <t>173</t>
        </is>
      </c>
      <c r="B174" t="inlineStr">
        <is>
          <t>Philip Boarer</t>
        </is>
      </c>
      <c r="C174" t="inlineStr">
        <is>
          <t>Racing Club Ravenna</t>
        </is>
      </c>
      <c r="D174" t="inlineStr">
        <is>
          <t>24</t>
        </is>
      </c>
      <c r="E174" s="2">
        <f>HYPERLINK("https://www.britishcycling.org.uk/points?person_id=263650&amp;year=2024&amp;type=national&amp;d=6","Results")</f>
        <v/>
      </c>
    </row>
    <row r="175">
      <c r="A175" t="inlineStr">
        <is>
          <t>174</t>
        </is>
      </c>
      <c r="B175" t="inlineStr">
        <is>
          <t>Christopher White</t>
        </is>
      </c>
      <c r="C175" t="inlineStr">
        <is>
          <t>Fife Century RC</t>
        </is>
      </c>
      <c r="D175" t="inlineStr">
        <is>
          <t>24</t>
        </is>
      </c>
      <c r="E175" s="2">
        <f>HYPERLINK("https://www.britishcycling.org.uk/points?person_id=560760&amp;year=2024&amp;type=national&amp;d=6","Results")</f>
        <v/>
      </c>
    </row>
    <row r="176">
      <c r="A176" t="inlineStr">
        <is>
          <t>175</t>
        </is>
      </c>
      <c r="B176" t="inlineStr">
        <is>
          <t>Robert Burns</t>
        </is>
      </c>
      <c r="C176" t="inlineStr">
        <is>
          <t>Black Country Racing Club</t>
        </is>
      </c>
      <c r="D176" t="inlineStr">
        <is>
          <t>22</t>
        </is>
      </c>
      <c r="E176" s="2">
        <f>HYPERLINK("https://www.britishcycling.org.uk/points?person_id=74520&amp;year=2024&amp;type=national&amp;d=6","Results")</f>
        <v/>
      </c>
    </row>
    <row r="177">
      <c r="A177" t="inlineStr">
        <is>
          <t>176</t>
        </is>
      </c>
      <c r="B177" t="inlineStr">
        <is>
          <t>Nick Davy</t>
        </is>
      </c>
      <c r="C177" t="inlineStr">
        <is>
          <t>C and N Cycles RT</t>
        </is>
      </c>
      <c r="D177" t="inlineStr">
        <is>
          <t>22</t>
        </is>
      </c>
      <c r="E177" s="2">
        <f>HYPERLINK("https://www.britishcycling.org.uk/points?person_id=294794&amp;year=2024&amp;type=national&amp;d=6","Results")</f>
        <v/>
      </c>
    </row>
    <row r="178">
      <c r="A178" t="inlineStr">
        <is>
          <t>177</t>
        </is>
      </c>
      <c r="B178" t="inlineStr">
        <is>
          <t>Ian McNally</t>
        </is>
      </c>
      <c r="C178" t="inlineStr"/>
      <c r="D178" t="inlineStr">
        <is>
          <t>22</t>
        </is>
      </c>
      <c r="E178" s="2">
        <f>HYPERLINK("https://www.britishcycling.org.uk/points?person_id=856153&amp;year=2024&amp;type=national&amp;d=6","Results")</f>
        <v/>
      </c>
    </row>
    <row r="179">
      <c r="A179" t="inlineStr">
        <is>
          <t>178</t>
        </is>
      </c>
      <c r="B179" t="inlineStr">
        <is>
          <t>John Stevenson</t>
        </is>
      </c>
      <c r="C179" t="inlineStr"/>
      <c r="D179" t="inlineStr">
        <is>
          <t>22</t>
        </is>
      </c>
      <c r="E179" s="2">
        <f>HYPERLINK("https://www.britishcycling.org.uk/points?person_id=702462&amp;year=2024&amp;type=national&amp;d=6","Results")</f>
        <v/>
      </c>
    </row>
    <row r="180">
      <c r="A180" t="inlineStr">
        <is>
          <t>179</t>
        </is>
      </c>
      <c r="B180" t="inlineStr">
        <is>
          <t>John Gilling</t>
        </is>
      </c>
      <c r="C180" t="inlineStr"/>
      <c r="D180" t="inlineStr">
        <is>
          <t>20</t>
        </is>
      </c>
      <c r="E180" s="2">
        <f>HYPERLINK("https://www.britishcycling.org.uk/points?person_id=290745&amp;year=2024&amp;type=national&amp;d=6","Results")</f>
        <v/>
      </c>
    </row>
    <row r="181">
      <c r="A181" t="inlineStr">
        <is>
          <t>180</t>
        </is>
      </c>
      <c r="B181" t="inlineStr">
        <is>
          <t>Martin O'Brien</t>
        </is>
      </c>
      <c r="C181" t="inlineStr">
        <is>
          <t>Brighton Mitre CC</t>
        </is>
      </c>
      <c r="D181" t="inlineStr">
        <is>
          <t>20</t>
        </is>
      </c>
      <c r="E181" s="2">
        <f>HYPERLINK("https://www.britishcycling.org.uk/points?person_id=60859&amp;year=2024&amp;type=national&amp;d=6","Results")</f>
        <v/>
      </c>
    </row>
    <row r="182">
      <c r="A182" t="inlineStr">
        <is>
          <t>181</t>
        </is>
      </c>
      <c r="B182" t="inlineStr">
        <is>
          <t>Ian Wright</t>
        </is>
      </c>
      <c r="C182" t="inlineStr"/>
      <c r="D182" t="inlineStr">
        <is>
          <t>20</t>
        </is>
      </c>
      <c r="E182" s="2">
        <f>HYPERLINK("https://www.britishcycling.org.uk/points?person_id=46172&amp;year=2024&amp;type=national&amp;d=6","Results")</f>
        <v/>
      </c>
    </row>
    <row r="183">
      <c r="A183" t="inlineStr">
        <is>
          <t>182</t>
        </is>
      </c>
      <c r="B183" t="inlineStr">
        <is>
          <t>Neil Clarke</t>
        </is>
      </c>
      <c r="C183" t="inlineStr"/>
      <c r="D183" t="inlineStr">
        <is>
          <t>19</t>
        </is>
      </c>
      <c r="E183" s="2">
        <f>HYPERLINK("https://www.britishcycling.org.uk/points?person_id=1155128&amp;year=2024&amp;type=national&amp;d=6","Results")</f>
        <v/>
      </c>
    </row>
    <row r="184">
      <c r="A184" t="inlineStr">
        <is>
          <t>183</t>
        </is>
      </c>
      <c r="B184" t="inlineStr">
        <is>
          <t>Duncan Maycroft</t>
        </is>
      </c>
      <c r="C184" t="inlineStr">
        <is>
          <t>Hoddom Velo</t>
        </is>
      </c>
      <c r="D184" t="inlineStr">
        <is>
          <t>19</t>
        </is>
      </c>
      <c r="E184" s="2">
        <f>HYPERLINK("https://www.britishcycling.org.uk/points?person_id=36343&amp;year=2024&amp;type=national&amp;d=6","Results")</f>
        <v/>
      </c>
    </row>
    <row r="185">
      <c r="A185" t="inlineStr">
        <is>
          <t>184</t>
        </is>
      </c>
      <c r="B185" t="inlineStr">
        <is>
          <t>Peter Murray</t>
        </is>
      </c>
      <c r="C185" t="inlineStr">
        <is>
          <t>Salford Cycling Club</t>
        </is>
      </c>
      <c r="D185" t="inlineStr">
        <is>
          <t>19</t>
        </is>
      </c>
      <c r="E185" s="2">
        <f>HYPERLINK("https://www.britishcycling.org.uk/points?person_id=277083&amp;year=2024&amp;type=national&amp;d=6","Results")</f>
        <v/>
      </c>
    </row>
    <row r="186">
      <c r="A186" t="inlineStr">
        <is>
          <t>185</t>
        </is>
      </c>
      <c r="B186" t="inlineStr">
        <is>
          <t>John Graveling</t>
        </is>
      </c>
      <c r="C186" t="inlineStr">
        <is>
          <t>Harrogate Nova CC</t>
        </is>
      </c>
      <c r="D186" t="inlineStr">
        <is>
          <t>17</t>
        </is>
      </c>
      <c r="E186" s="2">
        <f>HYPERLINK("https://www.britishcycling.org.uk/points?person_id=63246&amp;year=2024&amp;type=national&amp;d=6","Results")</f>
        <v/>
      </c>
    </row>
    <row r="187">
      <c r="A187" t="inlineStr">
        <is>
          <t>186</t>
        </is>
      </c>
      <c r="B187" t="inlineStr">
        <is>
          <t>Jerry Dawson</t>
        </is>
      </c>
      <c r="C187" t="inlineStr">
        <is>
          <t>Wolf Cycles</t>
        </is>
      </c>
      <c r="D187" t="inlineStr">
        <is>
          <t>16</t>
        </is>
      </c>
      <c r="E187" s="2">
        <f>HYPERLINK("https://www.britishcycling.org.uk/points?person_id=45857&amp;year=2024&amp;type=national&amp;d=6","Results")</f>
        <v/>
      </c>
    </row>
    <row r="188">
      <c r="A188" t="inlineStr">
        <is>
          <t>187</t>
        </is>
      </c>
      <c r="B188" t="inlineStr">
        <is>
          <t>Thomas McNeish</t>
        </is>
      </c>
      <c r="C188" t="inlineStr">
        <is>
          <t>Royal Albert CC</t>
        </is>
      </c>
      <c r="D188" t="inlineStr">
        <is>
          <t>15</t>
        </is>
      </c>
      <c r="E188" s="2">
        <f>HYPERLINK("https://www.britishcycling.org.uk/points?person_id=507997&amp;year=2024&amp;type=national&amp;d=6","Results")</f>
        <v/>
      </c>
    </row>
    <row r="189">
      <c r="A189" t="inlineStr">
        <is>
          <t>188</t>
        </is>
      </c>
      <c r="B189" t="inlineStr">
        <is>
          <t>Stephen Blackmore</t>
        </is>
      </c>
      <c r="C189" t="inlineStr"/>
      <c r="D189" t="inlineStr">
        <is>
          <t>14</t>
        </is>
      </c>
      <c r="E189" s="2">
        <f>HYPERLINK("https://www.britishcycling.org.uk/points?person_id=73162&amp;year=2024&amp;type=national&amp;d=6","Results")</f>
        <v/>
      </c>
    </row>
    <row r="190">
      <c r="A190" t="inlineStr">
        <is>
          <t>189</t>
        </is>
      </c>
      <c r="B190" t="inlineStr">
        <is>
          <t>Clive Franklin</t>
        </is>
      </c>
      <c r="C190" t="inlineStr">
        <is>
          <t>Somerset Road Club</t>
        </is>
      </c>
      <c r="D190" t="inlineStr">
        <is>
          <t>14</t>
        </is>
      </c>
      <c r="E190" s="2">
        <f>HYPERLINK("https://www.britishcycling.org.uk/points?person_id=271257&amp;year=2024&amp;type=national&amp;d=6","Results")</f>
        <v/>
      </c>
    </row>
    <row r="191">
      <c r="A191" t="inlineStr">
        <is>
          <t>190</t>
        </is>
      </c>
      <c r="B191" t="inlineStr">
        <is>
          <t>John Hawes</t>
        </is>
      </c>
      <c r="C191" t="inlineStr">
        <is>
          <t>Cheltenham &amp; County Cycling Club</t>
        </is>
      </c>
      <c r="D191" t="inlineStr">
        <is>
          <t>14</t>
        </is>
      </c>
      <c r="E191" s="2">
        <f>HYPERLINK("https://www.britishcycling.org.uk/points?person_id=34419&amp;year=2024&amp;type=national&amp;d=6","Results")</f>
        <v/>
      </c>
    </row>
    <row r="192">
      <c r="A192" t="inlineStr">
        <is>
          <t>191</t>
        </is>
      </c>
      <c r="B192" t="inlineStr">
        <is>
          <t>Nigel Middlehurst</t>
        </is>
      </c>
      <c r="C192" t="inlineStr">
        <is>
          <t>Ellmore Factory Racing</t>
        </is>
      </c>
      <c r="D192" t="inlineStr">
        <is>
          <t>14</t>
        </is>
      </c>
      <c r="E192" s="2">
        <f>HYPERLINK("https://www.britishcycling.org.uk/points?person_id=32804&amp;year=2024&amp;type=national&amp;d=6","Results")</f>
        <v/>
      </c>
    </row>
    <row r="193">
      <c r="A193" t="inlineStr">
        <is>
          <t>192</t>
        </is>
      </c>
      <c r="B193" t="inlineStr">
        <is>
          <t>John Newport</t>
        </is>
      </c>
      <c r="C193" t="inlineStr"/>
      <c r="D193" t="inlineStr">
        <is>
          <t>14</t>
        </is>
      </c>
      <c r="E193" s="2">
        <f>HYPERLINK("https://www.britishcycling.org.uk/points?person_id=224&amp;year=2024&amp;type=national&amp;d=6","Results")</f>
        <v/>
      </c>
    </row>
    <row r="194">
      <c r="A194" t="inlineStr">
        <is>
          <t>193</t>
        </is>
      </c>
      <c r="B194" t="inlineStr">
        <is>
          <t>Dominic Brasted</t>
        </is>
      </c>
      <c r="C194" t="inlineStr">
        <is>
          <t>Travers Bikes.com (2022)</t>
        </is>
      </c>
      <c r="D194" t="inlineStr">
        <is>
          <t>13</t>
        </is>
      </c>
      <c r="E194" s="2">
        <f>HYPERLINK("https://www.britishcycling.org.uk/points?person_id=294172&amp;year=2024&amp;type=national&amp;d=6","Results")</f>
        <v/>
      </c>
    </row>
    <row r="195">
      <c r="A195" t="inlineStr">
        <is>
          <t>194</t>
        </is>
      </c>
      <c r="B195" t="inlineStr">
        <is>
          <t>David Martin</t>
        </is>
      </c>
      <c r="C195" t="inlineStr">
        <is>
          <t>Velo Club Venta</t>
        </is>
      </c>
      <c r="D195" t="inlineStr">
        <is>
          <t>12</t>
        </is>
      </c>
      <c r="E195" s="2">
        <f>HYPERLINK("https://www.britishcycling.org.uk/points?person_id=265629&amp;year=2024&amp;type=national&amp;d=6","Results")</f>
        <v/>
      </c>
    </row>
    <row r="196">
      <c r="A196" t="inlineStr">
        <is>
          <t>195</t>
        </is>
      </c>
      <c r="B196" t="inlineStr">
        <is>
          <t>Mervyn Walker</t>
        </is>
      </c>
      <c r="C196" t="inlineStr">
        <is>
          <t>Orkney Cycling Club</t>
        </is>
      </c>
      <c r="D196" t="inlineStr">
        <is>
          <t>12</t>
        </is>
      </c>
      <c r="E196" s="2">
        <f>HYPERLINK("https://www.britishcycling.org.uk/points?person_id=358602&amp;year=2024&amp;type=national&amp;d=6","Results")</f>
        <v/>
      </c>
    </row>
    <row r="197">
      <c r="A197" t="inlineStr">
        <is>
          <t>196</t>
        </is>
      </c>
      <c r="B197" t="inlineStr">
        <is>
          <t>Mark Bevan</t>
        </is>
      </c>
      <c r="C197" t="inlineStr"/>
      <c r="D197" t="inlineStr">
        <is>
          <t>11</t>
        </is>
      </c>
      <c r="E197" s="2">
        <f>HYPERLINK("https://www.britishcycling.org.uk/points?person_id=1160037&amp;year=2024&amp;type=national&amp;d=6","Results")</f>
        <v/>
      </c>
    </row>
    <row r="198">
      <c r="A198" t="inlineStr">
        <is>
          <t>197</t>
        </is>
      </c>
      <c r="B198" t="inlineStr">
        <is>
          <t>Craig Buchanan</t>
        </is>
      </c>
      <c r="C198" t="inlineStr">
        <is>
          <t>Dunfermline CC</t>
        </is>
      </c>
      <c r="D198" t="inlineStr">
        <is>
          <t>11</t>
        </is>
      </c>
      <c r="E198" s="2">
        <f>HYPERLINK("https://www.britishcycling.org.uk/points?person_id=60171&amp;year=2024&amp;type=national&amp;d=6","Results")</f>
        <v/>
      </c>
    </row>
    <row r="199">
      <c r="A199" t="inlineStr">
        <is>
          <t>198</t>
        </is>
      </c>
      <c r="B199" t="inlineStr">
        <is>
          <t>Laurence Watts</t>
        </is>
      </c>
      <c r="C199" t="inlineStr">
        <is>
          <t>Hub Vélo</t>
        </is>
      </c>
      <c r="D199" t="inlineStr">
        <is>
          <t>11</t>
        </is>
      </c>
      <c r="E199" s="2">
        <f>HYPERLINK("https://www.britishcycling.org.uk/points?person_id=306815&amp;year=2024&amp;type=national&amp;d=6","Results")</f>
        <v/>
      </c>
    </row>
    <row r="200">
      <c r="A200" t="inlineStr">
        <is>
          <t>199</t>
        </is>
      </c>
      <c r="B200" t="inlineStr">
        <is>
          <t>Andrew Barnes</t>
        </is>
      </c>
      <c r="C200" t="inlineStr">
        <is>
          <t>LBRCC (Leighton Buzzard Road CC)</t>
        </is>
      </c>
      <c r="D200" t="inlineStr">
        <is>
          <t>10</t>
        </is>
      </c>
      <c r="E200" s="2">
        <f>HYPERLINK("https://www.britishcycling.org.uk/points?person_id=51538&amp;year=2024&amp;type=national&amp;d=6","Results")</f>
        <v/>
      </c>
    </row>
    <row r="201">
      <c r="A201" t="inlineStr">
        <is>
          <t>200</t>
        </is>
      </c>
      <c r="B201" t="inlineStr">
        <is>
          <t>Alan Cook</t>
        </is>
      </c>
      <c r="C201" t="inlineStr">
        <is>
          <t>SKCC</t>
        </is>
      </c>
      <c r="D201" t="inlineStr">
        <is>
          <t>10</t>
        </is>
      </c>
      <c r="E201" s="2">
        <f>HYPERLINK("https://www.britishcycling.org.uk/points?person_id=103900&amp;year=2024&amp;type=national&amp;d=6","Results")</f>
        <v/>
      </c>
    </row>
    <row r="202">
      <c r="A202" t="inlineStr">
        <is>
          <t>201</t>
        </is>
      </c>
      <c r="B202" t="inlineStr">
        <is>
          <t>John Terrell</t>
        </is>
      </c>
      <c r="C202" t="inlineStr">
        <is>
          <t>Ipswich Bicycle Club</t>
        </is>
      </c>
      <c r="D202" t="inlineStr">
        <is>
          <t>10</t>
        </is>
      </c>
      <c r="E202" s="2">
        <f>HYPERLINK("https://www.britishcycling.org.uk/points?person_id=60966&amp;year=2024&amp;type=national&amp;d=6","Results")</f>
        <v/>
      </c>
    </row>
    <row r="203">
      <c r="A203" t="inlineStr">
        <is>
          <t>202</t>
        </is>
      </c>
      <c r="B203" t="inlineStr">
        <is>
          <t>Paul Andrews</t>
        </is>
      </c>
      <c r="C203" t="inlineStr">
        <is>
          <t>Lancaster CC</t>
        </is>
      </c>
      <c r="D203" t="inlineStr">
        <is>
          <t>9</t>
        </is>
      </c>
      <c r="E203" s="2">
        <f>HYPERLINK("https://www.britishcycling.org.uk/points?person_id=42300&amp;year=2024&amp;type=national&amp;d=6","Results")</f>
        <v/>
      </c>
    </row>
    <row r="204">
      <c r="A204" t="inlineStr">
        <is>
          <t>203</t>
        </is>
      </c>
      <c r="B204" t="inlineStr">
        <is>
          <t>Russell Crowe</t>
        </is>
      </c>
      <c r="C204" t="inlineStr">
        <is>
          <t>Abellio - SFA Racing Team</t>
        </is>
      </c>
      <c r="D204" t="inlineStr">
        <is>
          <t>9</t>
        </is>
      </c>
      <c r="E204" s="2">
        <f>HYPERLINK("https://www.britishcycling.org.uk/points?person_id=13275&amp;year=2024&amp;type=national&amp;d=6","Results")</f>
        <v/>
      </c>
    </row>
    <row r="205">
      <c r="A205" t="inlineStr">
        <is>
          <t>204</t>
        </is>
      </c>
      <c r="B205" t="inlineStr">
        <is>
          <t>Dominic Lowden</t>
        </is>
      </c>
      <c r="C205" t="inlineStr">
        <is>
          <t>Diss &amp; District CC</t>
        </is>
      </c>
      <c r="D205" t="inlineStr">
        <is>
          <t>9</t>
        </is>
      </c>
      <c r="E205" s="2">
        <f>HYPERLINK("https://www.britishcycling.org.uk/points?person_id=4812&amp;year=2024&amp;type=national&amp;d=6","Results")</f>
        <v/>
      </c>
    </row>
    <row r="206">
      <c r="A206" t="inlineStr">
        <is>
          <t>205</t>
        </is>
      </c>
      <c r="B206" t="inlineStr">
        <is>
          <t>John Lumley</t>
        </is>
      </c>
      <c r="C206" t="inlineStr">
        <is>
          <t>Walkers Cycling Club</t>
        </is>
      </c>
      <c r="D206" t="inlineStr">
        <is>
          <t>9</t>
        </is>
      </c>
      <c r="E206" s="2">
        <f>HYPERLINK("https://www.britishcycling.org.uk/points?person_id=681344&amp;year=2024&amp;type=national&amp;d=6","Results")</f>
        <v/>
      </c>
    </row>
    <row r="207">
      <c r="A207" t="inlineStr">
        <is>
          <t>206</t>
        </is>
      </c>
      <c r="B207" t="inlineStr">
        <is>
          <t>Bruce Stirling</t>
        </is>
      </c>
      <c r="C207" t="inlineStr">
        <is>
          <t>RC Cumbernauld &amp; Kilsyth</t>
        </is>
      </c>
      <c r="D207" t="inlineStr">
        <is>
          <t>9</t>
        </is>
      </c>
      <c r="E207" s="2">
        <f>HYPERLINK("https://www.britishcycling.org.uk/points?person_id=252481&amp;year=2024&amp;type=national&amp;d=6","Results")</f>
        <v/>
      </c>
    </row>
    <row r="208">
      <c r="A208" t="inlineStr">
        <is>
          <t>207</t>
        </is>
      </c>
      <c r="B208" t="inlineStr">
        <is>
          <t>Terry Whalley</t>
        </is>
      </c>
      <c r="C208" t="inlineStr">
        <is>
          <t>Ford Cycling Club</t>
        </is>
      </c>
      <c r="D208" t="inlineStr">
        <is>
          <t>9</t>
        </is>
      </c>
      <c r="E208" s="2">
        <f>HYPERLINK("https://www.britishcycling.org.uk/points?person_id=106324&amp;year=2024&amp;type=national&amp;d=6","Results")</f>
        <v/>
      </c>
    </row>
    <row r="209">
      <c r="A209" t="inlineStr">
        <is>
          <t>208</t>
        </is>
      </c>
      <c r="B209" t="inlineStr">
        <is>
          <t>Alistair Macdonald</t>
        </is>
      </c>
      <c r="C209" t="inlineStr">
        <is>
          <t>Dundee Thistle RC</t>
        </is>
      </c>
      <c r="D209" t="inlineStr">
        <is>
          <t>8</t>
        </is>
      </c>
      <c r="E209" s="2">
        <f>HYPERLINK("https://www.britishcycling.org.uk/points?person_id=258644&amp;year=2024&amp;type=national&amp;d=6","Results")</f>
        <v/>
      </c>
    </row>
    <row r="210">
      <c r="A210" t="inlineStr">
        <is>
          <t>209</t>
        </is>
      </c>
      <c r="B210" t="inlineStr">
        <is>
          <t>Richard Bowditch</t>
        </is>
      </c>
      <c r="C210" t="inlineStr">
        <is>
          <t>Congleton CC</t>
        </is>
      </c>
      <c r="D210" t="inlineStr">
        <is>
          <t>7</t>
        </is>
      </c>
      <c r="E210" s="2">
        <f>HYPERLINK("https://www.britishcycling.org.uk/points?person_id=630016&amp;year=2024&amp;type=national&amp;d=6","Results")</f>
        <v/>
      </c>
    </row>
    <row r="211">
      <c r="A211" t="inlineStr">
        <is>
          <t>210</t>
        </is>
      </c>
      <c r="B211" t="inlineStr">
        <is>
          <t>Keith Binns</t>
        </is>
      </c>
      <c r="C211" t="inlineStr"/>
      <c r="D211" t="inlineStr">
        <is>
          <t>6</t>
        </is>
      </c>
      <c r="E211" s="2">
        <f>HYPERLINK("https://www.britishcycling.org.uk/points?person_id=557147&amp;year=2024&amp;type=national&amp;d=6","Results")</f>
        <v/>
      </c>
    </row>
    <row r="212">
      <c r="A212" t="inlineStr">
        <is>
          <t>211</t>
        </is>
      </c>
      <c r="B212" t="inlineStr">
        <is>
          <t>Jamie Brady</t>
        </is>
      </c>
      <c r="C212" t="inlineStr">
        <is>
          <t>Tyne&amp;Wear Fire&amp;Rescue CC</t>
        </is>
      </c>
      <c r="D212" t="inlineStr">
        <is>
          <t>6</t>
        </is>
      </c>
      <c r="E212" s="2">
        <f>HYPERLINK("https://www.britishcycling.org.uk/points?person_id=34488&amp;year=2024&amp;type=national&amp;d=6","Results")</f>
        <v/>
      </c>
    </row>
    <row r="213">
      <c r="A213" t="inlineStr">
        <is>
          <t>212</t>
        </is>
      </c>
      <c r="B213" t="inlineStr">
        <is>
          <t>Alan Starsmeare</t>
        </is>
      </c>
      <c r="C213" t="inlineStr">
        <is>
          <t>Wessex Road Club</t>
        </is>
      </c>
      <c r="D213" t="inlineStr">
        <is>
          <t>6</t>
        </is>
      </c>
      <c r="E213" s="2">
        <f>HYPERLINK("https://www.britishcycling.org.uk/points?person_id=39352&amp;year=2024&amp;type=national&amp;d=6","Results")</f>
        <v/>
      </c>
    </row>
    <row r="214">
      <c r="A214" t="inlineStr">
        <is>
          <t>213</t>
        </is>
      </c>
      <c r="B214" t="inlineStr">
        <is>
          <t>Kevin Mills</t>
        </is>
      </c>
      <c r="C214" t="inlineStr">
        <is>
          <t>Welland Valley CC</t>
        </is>
      </c>
      <c r="D214" t="inlineStr">
        <is>
          <t>5</t>
        </is>
      </c>
      <c r="E214" s="2">
        <f>HYPERLINK("https://www.britishcycling.org.uk/points?person_id=102535&amp;year=2024&amp;type=national&amp;d=6","Results")</f>
        <v/>
      </c>
    </row>
    <row r="215">
      <c r="A215" t="inlineStr">
        <is>
          <t>214</t>
        </is>
      </c>
      <c r="B215" t="inlineStr">
        <is>
          <t>John Newton</t>
        </is>
      </c>
      <c r="C215" t="inlineStr">
        <is>
          <t>Leslie Bike Shop-Bikers Boutique</t>
        </is>
      </c>
      <c r="D215" t="inlineStr">
        <is>
          <t>5</t>
        </is>
      </c>
      <c r="E215" s="2">
        <f>HYPERLINK("https://www.britishcycling.org.uk/points?person_id=36901&amp;year=2024&amp;type=national&amp;d=6","Results")</f>
        <v/>
      </c>
    </row>
    <row r="216">
      <c r="A216" t="inlineStr">
        <is>
          <t>215</t>
        </is>
      </c>
      <c r="B216" t="inlineStr">
        <is>
          <t>Nick Butterworth</t>
        </is>
      </c>
      <c r="C216" t="inlineStr">
        <is>
          <t>Weaver Valley CC</t>
        </is>
      </c>
      <c r="D216" t="inlineStr">
        <is>
          <t>4</t>
        </is>
      </c>
      <c r="E216" s="2">
        <f>HYPERLINK("https://www.britishcycling.org.uk/points?person_id=43499&amp;year=2024&amp;type=national&amp;d=6","Results")</f>
        <v/>
      </c>
    </row>
    <row r="217">
      <c r="A217" t="inlineStr">
        <is>
          <t>216</t>
        </is>
      </c>
      <c r="B217" t="inlineStr">
        <is>
          <t>Ian Forrester</t>
        </is>
      </c>
      <c r="C217" t="inlineStr">
        <is>
          <t>Peddlamaniacs Cycle Club</t>
        </is>
      </c>
      <c r="D217" t="inlineStr">
        <is>
          <t>4</t>
        </is>
      </c>
      <c r="E217" s="2">
        <f>HYPERLINK("https://www.britishcycling.org.uk/points?person_id=32896&amp;year=2024&amp;type=national&amp;d=6","Results")</f>
        <v/>
      </c>
    </row>
    <row r="218">
      <c r="A218" t="inlineStr">
        <is>
          <t>217</t>
        </is>
      </c>
      <c r="B218" t="inlineStr">
        <is>
          <t>Alan French</t>
        </is>
      </c>
      <c r="C218" t="inlineStr"/>
      <c r="D218" t="inlineStr">
        <is>
          <t>4</t>
        </is>
      </c>
      <c r="E218" s="2">
        <f>HYPERLINK("https://www.britishcycling.org.uk/points?person_id=42175&amp;year=2024&amp;type=national&amp;d=6","Results")</f>
        <v/>
      </c>
    </row>
    <row r="219">
      <c r="A219" t="inlineStr">
        <is>
          <t>218</t>
        </is>
      </c>
      <c r="B219" t="inlineStr">
        <is>
          <t>Charles Martin</t>
        </is>
      </c>
      <c r="C219" t="inlineStr">
        <is>
          <t>Ayr Burners Cycling</t>
        </is>
      </c>
      <c r="D219" t="inlineStr">
        <is>
          <t>4</t>
        </is>
      </c>
      <c r="E219" s="2">
        <f>HYPERLINK("https://www.britishcycling.org.uk/points?person_id=71400&amp;year=2024&amp;type=national&amp;d=6","Results")</f>
        <v/>
      </c>
    </row>
    <row r="220">
      <c r="A220" t="inlineStr">
        <is>
          <t>219</t>
        </is>
      </c>
      <c r="B220" t="inlineStr">
        <is>
          <t>Robin Corder</t>
        </is>
      </c>
      <c r="C220" t="inlineStr">
        <is>
          <t>ROTOR Race Team</t>
        </is>
      </c>
      <c r="D220" t="inlineStr">
        <is>
          <t>3</t>
        </is>
      </c>
      <c r="E220" s="2">
        <f>HYPERLINK("https://www.britishcycling.org.uk/points?person_id=11187&amp;year=2024&amp;type=national&amp;d=6","Results")</f>
        <v/>
      </c>
    </row>
    <row r="221">
      <c r="A221" t="inlineStr">
        <is>
          <t>220</t>
        </is>
      </c>
      <c r="B221" t="inlineStr">
        <is>
          <t>John Hodgson</t>
        </is>
      </c>
      <c r="C221" t="inlineStr">
        <is>
          <t>Trilogy CC</t>
        </is>
      </c>
      <c r="D221" t="inlineStr">
        <is>
          <t>2</t>
        </is>
      </c>
      <c r="E221" s="2">
        <f>HYPERLINK("https://www.britishcycling.org.uk/points?person_id=449719&amp;year=2024&amp;type=national&amp;d=6","Results")</f>
        <v/>
      </c>
    </row>
    <row r="222">
      <c r="A222" t="inlineStr">
        <is>
          <t>221</t>
        </is>
      </c>
      <c r="B222" t="inlineStr">
        <is>
          <t>Peter Varian</t>
        </is>
      </c>
      <c r="C222" t="inlineStr">
        <is>
          <t>Birmingham Midland Cycling Club</t>
        </is>
      </c>
      <c r="D222" t="inlineStr">
        <is>
          <t>2</t>
        </is>
      </c>
      <c r="E222" s="2">
        <f>HYPERLINK("https://www.britishcycling.org.uk/points?person_id=45414&amp;year=2024&amp;type=national&amp;d=6","Results")</f>
        <v/>
      </c>
    </row>
    <row r="223">
      <c r="A223" t="inlineStr">
        <is>
          <t>222</t>
        </is>
      </c>
      <c r="B223" t="inlineStr">
        <is>
          <t>Alan Davidson</t>
        </is>
      </c>
      <c r="C223" t="inlineStr">
        <is>
          <t>Dundee Thistle RC</t>
        </is>
      </c>
      <c r="D223" t="inlineStr">
        <is>
          <t>1</t>
        </is>
      </c>
      <c r="E223" s="2">
        <f>HYPERLINK("https://www.britishcycling.org.uk/points?person_id=457310&amp;year=2024&amp;type=national&amp;d=6","Results")</f>
        <v/>
      </c>
    </row>
    <row r="224">
      <c r="A224" t="inlineStr">
        <is>
          <t>223</t>
        </is>
      </c>
      <c r="B224" t="inlineStr">
        <is>
          <t>Graham Wright</t>
        </is>
      </c>
      <c r="C224" t="inlineStr">
        <is>
          <t>Rossendale Cycling Club</t>
        </is>
      </c>
      <c r="D224" t="inlineStr">
        <is>
          <t>1</t>
        </is>
      </c>
      <c r="E224" s="2">
        <f>HYPERLINK("https://www.britishcycling.org.uk/points?person_id=497512&amp;year=2024&amp;type=national&amp;d=6","Results")</f>
        <v/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F97"/>
  <sheetViews>
    <sheetView workbookViewId="0">
      <selection activeCell="A1" sqref="A1"/>
    </sheetView>
  </sheetViews>
  <sheetFormatPr baseColWidth="8" defaultRowHeight="15"/>
  <cols>
    <col width="8" customWidth="1" min="1" max="1"/>
    <col width="25" customWidth="1" min="2" max="2"/>
    <col width="50" customWidth="1" min="3" max="3"/>
    <col width="7" customWidth="1" min="4" max="4"/>
    <col width="20" customWidth="1" min="5" max="5"/>
  </cols>
  <sheetData>
    <row r="1">
      <c r="A1" s="1" t="inlineStr">
        <is>
          <t>Ranking</t>
        </is>
      </c>
      <c r="B1" s="1" t="inlineStr">
        <is>
          <t>Name</t>
        </is>
      </c>
      <c r="C1" s="1" t="inlineStr">
        <is>
          <t>Club/Team</t>
        </is>
      </c>
      <c r="D1" s="1" t="inlineStr">
        <is>
          <t>Points</t>
        </is>
      </c>
      <c r="E1" s="1" t="inlineStr">
        <is>
          <t>Detail (click)</t>
        </is>
      </c>
      <c r="F1" s="1" t="inlineStr">
        <is>
          <t>Updated: 2024-12-20</t>
        </is>
      </c>
    </row>
    <row r="2">
      <c r="A2" t="inlineStr">
        <is>
          <t>1</t>
        </is>
      </c>
      <c r="B2" t="inlineStr">
        <is>
          <t>Isla Jebb</t>
        </is>
      </c>
      <c r="C2" t="inlineStr">
        <is>
          <t>Hope Tech Factory Racing</t>
        </is>
      </c>
      <c r="D2" t="inlineStr">
        <is>
          <t>508</t>
        </is>
      </c>
      <c r="E2" s="2">
        <f>HYPERLINK("https://www.britishcycling.org.uk/points?person_id=1024499&amp;year=2024&amp;type=national&amp;d=6","Results")</f>
        <v/>
      </c>
    </row>
    <row r="3">
      <c r="A3" t="inlineStr">
        <is>
          <t>2</t>
        </is>
      </c>
      <c r="B3" t="inlineStr">
        <is>
          <t>Eva Gibson</t>
        </is>
      </c>
      <c r="C3" t="inlineStr">
        <is>
          <t>4T+ Cyclopark</t>
        </is>
      </c>
      <c r="D3" t="inlineStr">
        <is>
          <t>506</t>
        </is>
      </c>
      <c r="E3" s="2">
        <f>HYPERLINK("https://www.britishcycling.org.uk/points?person_id=738563&amp;year=2024&amp;type=national&amp;d=6","Results")</f>
        <v/>
      </c>
    </row>
    <row r="4">
      <c r="A4" t="inlineStr">
        <is>
          <t>3</t>
        </is>
      </c>
      <c r="B4" t="inlineStr">
        <is>
          <t>Harriet Butcher</t>
        </is>
      </c>
      <c r="C4" t="inlineStr">
        <is>
          <t>Lee Valley Youth Cycling Club</t>
        </is>
      </c>
      <c r="D4" t="inlineStr">
        <is>
          <t>488</t>
        </is>
      </c>
      <c r="E4" s="2">
        <f>HYPERLINK("https://www.britishcycling.org.uk/points?person_id=735484&amp;year=2024&amp;type=national&amp;d=6","Results")</f>
        <v/>
      </c>
    </row>
    <row r="5">
      <c r="A5" t="inlineStr">
        <is>
          <t>4</t>
        </is>
      </c>
      <c r="B5" t="inlineStr">
        <is>
          <t>Emma Knox</t>
        </is>
      </c>
      <c r="C5" t="inlineStr">
        <is>
          <t>Verulam - reallymoving.com</t>
        </is>
      </c>
      <c r="D5" t="inlineStr">
        <is>
          <t>480</t>
        </is>
      </c>
      <c r="E5" s="2">
        <f>HYPERLINK("https://www.britishcycling.org.uk/points?person_id=744825&amp;year=2024&amp;type=national&amp;d=6","Results")</f>
        <v/>
      </c>
    </row>
    <row r="6">
      <c r="A6" t="inlineStr">
        <is>
          <t>5</t>
        </is>
      </c>
      <c r="B6" t="inlineStr">
        <is>
          <t>Jess Duffield</t>
        </is>
      </c>
      <c r="C6" t="inlineStr">
        <is>
          <t>Cwmcarn Paragon Cycling Club</t>
        </is>
      </c>
      <c r="D6" t="inlineStr">
        <is>
          <t>424</t>
        </is>
      </c>
      <c r="E6" s="2">
        <f>HYPERLINK("https://www.britishcycling.org.uk/points?person_id=707194&amp;year=2024&amp;type=national&amp;d=6","Results")</f>
        <v/>
      </c>
    </row>
    <row r="7">
      <c r="A7" t="inlineStr">
        <is>
          <t>6</t>
        </is>
      </c>
      <c r="B7" t="inlineStr">
        <is>
          <t>Lauren Fox</t>
        </is>
      </c>
      <c r="C7" t="inlineStr">
        <is>
          <t>Mid Devon CC</t>
        </is>
      </c>
      <c r="D7" t="inlineStr">
        <is>
          <t>424</t>
        </is>
      </c>
      <c r="E7" s="2">
        <f>HYPERLINK("https://www.britishcycling.org.uk/points?person_id=644373&amp;year=2024&amp;type=national&amp;d=6","Results")</f>
        <v/>
      </c>
    </row>
    <row r="8">
      <c r="A8" t="inlineStr">
        <is>
          <t>7</t>
        </is>
      </c>
      <c r="B8" t="inlineStr">
        <is>
          <t>Eliza Saxton</t>
        </is>
      </c>
      <c r="C8" t="inlineStr">
        <is>
          <t>Huddersfield Star Wheelers</t>
        </is>
      </c>
      <c r="D8" t="inlineStr">
        <is>
          <t>384</t>
        </is>
      </c>
      <c r="E8" s="2">
        <f>HYPERLINK("https://www.britishcycling.org.uk/points?person_id=738375&amp;year=2024&amp;type=national&amp;d=6","Results")</f>
        <v/>
      </c>
    </row>
    <row r="9">
      <c r="A9" t="inlineStr">
        <is>
          <t>8</t>
        </is>
      </c>
      <c r="B9" t="inlineStr">
        <is>
          <t>Olivia Marriott</t>
        </is>
      </c>
      <c r="C9" t="inlineStr">
        <is>
          <t>Derby Mercury RC</t>
        </is>
      </c>
      <c r="D9" t="inlineStr">
        <is>
          <t>374</t>
        </is>
      </c>
      <c r="E9" s="2">
        <f>HYPERLINK("https://www.britishcycling.org.uk/points?person_id=734326&amp;year=2024&amp;type=national&amp;d=6","Results")</f>
        <v/>
      </c>
    </row>
    <row r="10">
      <c r="A10" t="inlineStr">
        <is>
          <t>9</t>
        </is>
      </c>
      <c r="B10" t="inlineStr">
        <is>
          <t>Betsy Hacker</t>
        </is>
      </c>
      <c r="C10" t="inlineStr">
        <is>
          <t>4T+ Cyclopark</t>
        </is>
      </c>
      <c r="D10" t="inlineStr">
        <is>
          <t>352</t>
        </is>
      </c>
      <c r="E10" s="2">
        <f>HYPERLINK("https://www.britishcycling.org.uk/points?person_id=655128&amp;year=2024&amp;type=national&amp;d=6","Results")</f>
        <v/>
      </c>
    </row>
    <row r="11">
      <c r="A11" t="inlineStr">
        <is>
          <t>10</t>
        </is>
      </c>
      <c r="B11" t="inlineStr">
        <is>
          <t>Harriet Hughes</t>
        </is>
      </c>
      <c r="C11" t="inlineStr">
        <is>
          <t>Leicester Forest CC</t>
        </is>
      </c>
      <c r="D11" t="inlineStr">
        <is>
          <t>346</t>
        </is>
      </c>
      <c r="E11" s="2">
        <f>HYPERLINK("https://www.britishcycling.org.uk/points?person_id=882502&amp;year=2024&amp;type=national&amp;d=6","Results")</f>
        <v/>
      </c>
    </row>
    <row r="12">
      <c r="A12" t="inlineStr">
        <is>
          <t>11</t>
        </is>
      </c>
      <c r="B12" t="inlineStr">
        <is>
          <t>Shauna Hamilton</t>
        </is>
      </c>
      <c r="C12" t="inlineStr">
        <is>
          <t>Lichfield City CC</t>
        </is>
      </c>
      <c r="D12" t="inlineStr">
        <is>
          <t>340</t>
        </is>
      </c>
      <c r="E12" s="2">
        <f>HYPERLINK("https://www.britishcycling.org.uk/points?person_id=535444&amp;year=2024&amp;type=national&amp;d=6","Results")</f>
        <v/>
      </c>
    </row>
    <row r="13">
      <c r="A13" t="inlineStr">
        <is>
          <t>12</t>
        </is>
      </c>
      <c r="B13" t="inlineStr">
        <is>
          <t>Eve Carline</t>
        </is>
      </c>
      <c r="C13" t="inlineStr">
        <is>
          <t>Sotonia CC</t>
        </is>
      </c>
      <c r="D13" t="inlineStr">
        <is>
          <t>336</t>
        </is>
      </c>
      <c r="E13" s="2">
        <f>HYPERLINK("https://www.britishcycling.org.uk/points?person_id=849046&amp;year=2024&amp;type=national&amp;d=6","Results")</f>
        <v/>
      </c>
    </row>
    <row r="14">
      <c r="A14" t="inlineStr">
        <is>
          <t>13</t>
        </is>
      </c>
      <c r="B14" t="inlineStr">
        <is>
          <t>Annabelle Carter</t>
        </is>
      </c>
      <c r="C14" t="inlineStr">
        <is>
          <t>Manilla Cycling</t>
        </is>
      </c>
      <c r="D14" t="inlineStr">
        <is>
          <t>336</t>
        </is>
      </c>
      <c r="E14" s="2">
        <f>HYPERLINK("https://www.britishcycling.org.uk/points?person_id=1030750&amp;year=2024&amp;type=national&amp;d=6","Results")</f>
        <v/>
      </c>
    </row>
    <row r="15">
      <c r="A15" t="inlineStr">
        <is>
          <t>14</t>
        </is>
      </c>
      <c r="B15" t="inlineStr">
        <is>
          <t>Elizabeth Whall</t>
        </is>
      </c>
      <c r="C15" t="inlineStr">
        <is>
          <t>Colchester Rovers CC</t>
        </is>
      </c>
      <c r="D15" t="inlineStr">
        <is>
          <t>328</t>
        </is>
      </c>
      <c r="E15" s="2">
        <f>HYPERLINK("https://www.britishcycling.org.uk/points?person_id=845067&amp;year=2024&amp;type=national&amp;d=6","Results")</f>
        <v/>
      </c>
    </row>
    <row r="16">
      <c r="A16" t="inlineStr">
        <is>
          <t>15</t>
        </is>
      </c>
      <c r="B16" t="inlineStr">
        <is>
          <t>Jessica Askey</t>
        </is>
      </c>
      <c r="C16" t="inlineStr">
        <is>
          <t>Lichfield City CC</t>
        </is>
      </c>
      <c r="D16" t="inlineStr">
        <is>
          <t>324</t>
        </is>
      </c>
      <c r="E16" s="2">
        <f>HYPERLINK("https://www.britishcycling.org.uk/points?person_id=824968&amp;year=2024&amp;type=national&amp;d=6","Results")</f>
        <v/>
      </c>
    </row>
    <row r="17">
      <c r="A17" t="inlineStr">
        <is>
          <t>16</t>
        </is>
      </c>
      <c r="B17" t="inlineStr">
        <is>
          <t>Isabella Jones</t>
        </is>
      </c>
      <c r="C17" t="inlineStr">
        <is>
          <t>Cycle Stars</t>
        </is>
      </c>
      <c r="D17" t="inlineStr">
        <is>
          <t>320</t>
        </is>
      </c>
      <c r="E17" s="2">
        <f>HYPERLINK("https://www.britishcycling.org.uk/points?person_id=1073084&amp;year=2024&amp;type=national&amp;d=6","Results")</f>
        <v/>
      </c>
    </row>
    <row r="18">
      <c r="A18" t="inlineStr">
        <is>
          <t>17</t>
        </is>
      </c>
      <c r="B18" t="inlineStr">
        <is>
          <t>Elysian Rose</t>
        </is>
      </c>
      <c r="C18" t="inlineStr">
        <is>
          <t>Clifton CC</t>
        </is>
      </c>
      <c r="D18" t="inlineStr">
        <is>
          <t>316</t>
        </is>
      </c>
      <c r="E18" s="2">
        <f>HYPERLINK("https://www.britishcycling.org.uk/points?person_id=879517&amp;year=2024&amp;type=national&amp;d=6","Results")</f>
        <v/>
      </c>
    </row>
    <row r="19">
      <c r="A19" t="inlineStr">
        <is>
          <t>18</t>
        </is>
      </c>
      <c r="B19" t="inlineStr">
        <is>
          <t>Jorgie Gillett</t>
        </is>
      </c>
      <c r="C19" t="inlineStr">
        <is>
          <t>Stratford CC</t>
        </is>
      </c>
      <c r="D19" t="inlineStr">
        <is>
          <t>310</t>
        </is>
      </c>
      <c r="E19" s="2">
        <f>HYPERLINK("https://www.britishcycling.org.uk/points?person_id=1006154&amp;year=2024&amp;type=national&amp;d=6","Results")</f>
        <v/>
      </c>
    </row>
    <row r="20">
      <c r="A20" t="inlineStr">
        <is>
          <t>19</t>
        </is>
      </c>
      <c r="B20" t="inlineStr">
        <is>
          <t>India-Rose Osborne</t>
        </is>
      </c>
      <c r="C20" t="inlineStr">
        <is>
          <t>4T+ Cyclopark</t>
        </is>
      </c>
      <c r="D20" t="inlineStr">
        <is>
          <t>304</t>
        </is>
      </c>
      <c r="E20" s="2">
        <f>HYPERLINK("https://www.britishcycling.org.uk/points?person_id=1031905&amp;year=2024&amp;type=national&amp;d=6","Results")</f>
        <v/>
      </c>
    </row>
    <row r="21">
      <c r="A21" t="inlineStr">
        <is>
          <t>20</t>
        </is>
      </c>
      <c r="B21" t="inlineStr">
        <is>
          <t>Florence Cooper</t>
        </is>
      </c>
      <c r="C21" t="inlineStr">
        <is>
          <t>Palmer Park Velo RT</t>
        </is>
      </c>
      <c r="D21" t="inlineStr">
        <is>
          <t>302</t>
        </is>
      </c>
      <c r="E21" s="2">
        <f>HYPERLINK("https://www.britishcycling.org.uk/points?person_id=824637&amp;year=2024&amp;type=national&amp;d=6","Results")</f>
        <v/>
      </c>
    </row>
    <row r="22">
      <c r="A22" t="inlineStr">
        <is>
          <t>21</t>
        </is>
      </c>
      <c r="B22" t="inlineStr">
        <is>
          <t>Evangeline Cox</t>
        </is>
      </c>
      <c r="C22" t="inlineStr">
        <is>
          <t>Maindy Flyers CC</t>
        </is>
      </c>
      <c r="D22" t="inlineStr">
        <is>
          <t>288</t>
        </is>
      </c>
      <c r="E22" s="2">
        <f>HYPERLINK("https://www.britishcycling.org.uk/points?person_id=829040&amp;year=2024&amp;type=national&amp;d=6","Results")</f>
        <v/>
      </c>
    </row>
    <row r="23">
      <c r="A23" t="inlineStr">
        <is>
          <t>22</t>
        </is>
      </c>
      <c r="B23" t="inlineStr">
        <is>
          <t>Freya Vaughan</t>
        </is>
      </c>
      <c r="C23" t="inlineStr">
        <is>
          <t>Velo Club Lincoln</t>
        </is>
      </c>
      <c r="D23" t="inlineStr">
        <is>
          <t>286</t>
        </is>
      </c>
      <c r="E23" s="2">
        <f>HYPERLINK("https://www.britishcycling.org.uk/points?person_id=988532&amp;year=2024&amp;type=national&amp;d=6","Results")</f>
        <v/>
      </c>
    </row>
    <row r="24">
      <c r="A24" t="inlineStr">
        <is>
          <t>23</t>
        </is>
      </c>
      <c r="B24" t="inlineStr">
        <is>
          <t>Matilda Wilks</t>
        </is>
      </c>
      <c r="C24" t="inlineStr">
        <is>
          <t>Sotonia CC</t>
        </is>
      </c>
      <c r="D24" t="inlineStr">
        <is>
          <t>286</t>
        </is>
      </c>
      <c r="E24" s="2">
        <f>HYPERLINK("https://www.britishcycling.org.uk/points?person_id=691197&amp;year=2024&amp;type=national&amp;d=6","Results")</f>
        <v/>
      </c>
    </row>
    <row r="25">
      <c r="A25" t="inlineStr">
        <is>
          <t>24</t>
        </is>
      </c>
      <c r="B25" t="inlineStr">
        <is>
          <t>Alexandra Wells</t>
        </is>
      </c>
      <c r="C25" t="inlineStr">
        <is>
          <t>Velo Club Lincoln</t>
        </is>
      </c>
      <c r="D25" t="inlineStr">
        <is>
          <t>282</t>
        </is>
      </c>
      <c r="E25" s="2">
        <f>HYPERLINK("https://www.britishcycling.org.uk/points?person_id=1088984&amp;year=2024&amp;type=national&amp;d=6","Results")</f>
        <v/>
      </c>
    </row>
    <row r="26">
      <c r="A26" t="inlineStr">
        <is>
          <t>25</t>
        </is>
      </c>
      <c r="B26" t="inlineStr">
        <is>
          <t>Eilidh Scally</t>
        </is>
      </c>
      <c r="C26" t="inlineStr">
        <is>
          <t>Johnstone Wheelers Cycling Club</t>
        </is>
      </c>
      <c r="D26" t="inlineStr">
        <is>
          <t>276</t>
        </is>
      </c>
      <c r="E26" s="2">
        <f>HYPERLINK("https://www.britishcycling.org.uk/points?person_id=1121509&amp;year=2024&amp;type=national&amp;d=6","Results")</f>
        <v/>
      </c>
    </row>
    <row r="27">
      <c r="A27" t="inlineStr">
        <is>
          <t>26</t>
        </is>
      </c>
      <c r="B27" t="inlineStr">
        <is>
          <t>Tillie Jennings</t>
        </is>
      </c>
      <c r="C27" t="inlineStr">
        <is>
          <t>Clifton CC</t>
        </is>
      </c>
      <c r="D27" t="inlineStr">
        <is>
          <t>258</t>
        </is>
      </c>
      <c r="E27" s="2">
        <f>HYPERLINK("https://www.britishcycling.org.uk/points?person_id=1002857&amp;year=2024&amp;type=national&amp;d=6","Results")</f>
        <v/>
      </c>
    </row>
    <row r="28">
      <c r="A28" t="inlineStr">
        <is>
          <t>27</t>
        </is>
      </c>
      <c r="B28" t="inlineStr">
        <is>
          <t>Lucy Raper</t>
        </is>
      </c>
      <c r="C28" t="inlineStr">
        <is>
          <t>Tyneside Vagabonds CC</t>
        </is>
      </c>
      <c r="D28" t="inlineStr">
        <is>
          <t>250</t>
        </is>
      </c>
      <c r="E28" s="2">
        <f>HYPERLINK("https://www.britishcycling.org.uk/points?person_id=754521&amp;year=2024&amp;type=national&amp;d=6","Results")</f>
        <v/>
      </c>
    </row>
    <row r="29">
      <c r="A29" t="inlineStr">
        <is>
          <t>28</t>
        </is>
      </c>
      <c r="B29" t="inlineStr">
        <is>
          <t>Edie Wright</t>
        </is>
      </c>
      <c r="C29" t="inlineStr">
        <is>
          <t>Limited Edition Cycling</t>
        </is>
      </c>
      <c r="D29" t="inlineStr">
        <is>
          <t>244</t>
        </is>
      </c>
      <c r="E29" s="2">
        <f>HYPERLINK("https://www.britishcycling.org.uk/points?person_id=1025133&amp;year=2024&amp;type=national&amp;d=6","Results")</f>
        <v/>
      </c>
    </row>
    <row r="30">
      <c r="A30" t="inlineStr">
        <is>
          <t>29</t>
        </is>
      </c>
      <c r="B30" t="inlineStr">
        <is>
          <t>Georgia Lloyd</t>
        </is>
      </c>
      <c r="C30" t="inlineStr">
        <is>
          <t>Mid Shropshire Wheelers</t>
        </is>
      </c>
      <c r="D30" t="inlineStr">
        <is>
          <t>238</t>
        </is>
      </c>
      <c r="E30" s="2">
        <f>HYPERLINK("https://www.britishcycling.org.uk/points?person_id=1136537&amp;year=2024&amp;type=national&amp;d=6","Results")</f>
        <v/>
      </c>
    </row>
    <row r="31">
      <c r="A31" t="inlineStr">
        <is>
          <t>30</t>
        </is>
      </c>
      <c r="B31" t="inlineStr">
        <is>
          <t>Seraphina Clegg</t>
        </is>
      </c>
      <c r="C31" t="inlineStr">
        <is>
          <t>360cycling</t>
        </is>
      </c>
      <c r="D31" t="inlineStr">
        <is>
          <t>228</t>
        </is>
      </c>
      <c r="E31" s="2">
        <f>HYPERLINK("https://www.britishcycling.org.uk/points?person_id=902626&amp;year=2024&amp;type=national&amp;d=6","Results")</f>
        <v/>
      </c>
    </row>
    <row r="32">
      <c r="A32" t="inlineStr">
        <is>
          <t>31</t>
        </is>
      </c>
      <c r="B32" t="inlineStr">
        <is>
          <t>Elsie Hughes</t>
        </is>
      </c>
      <c r="C32" t="inlineStr">
        <is>
          <t>Shibden Cycling Club</t>
        </is>
      </c>
      <c r="D32" t="inlineStr">
        <is>
          <t>226</t>
        </is>
      </c>
      <c r="E32" s="2">
        <f>HYPERLINK("https://www.britishcycling.org.uk/points?person_id=646270&amp;year=2024&amp;type=national&amp;d=6","Results")</f>
        <v/>
      </c>
    </row>
    <row r="33">
      <c r="A33" t="inlineStr">
        <is>
          <t>32</t>
        </is>
      </c>
      <c r="B33" t="inlineStr">
        <is>
          <t>Olive Wooliscroft</t>
        </is>
      </c>
      <c r="C33" t="inlineStr">
        <is>
          <t>Shibden Cycling Club</t>
        </is>
      </c>
      <c r="D33" t="inlineStr">
        <is>
          <t>210</t>
        </is>
      </c>
      <c r="E33" s="2">
        <f>HYPERLINK("https://www.britishcycling.org.uk/points?person_id=851486&amp;year=2024&amp;type=national&amp;d=6","Results")</f>
        <v/>
      </c>
    </row>
    <row r="34">
      <c r="A34" t="inlineStr">
        <is>
          <t>33</t>
        </is>
      </c>
      <c r="B34" t="inlineStr">
        <is>
          <t>Francesca Gill</t>
        </is>
      </c>
      <c r="C34" t="inlineStr">
        <is>
          <t>Cycle Stars</t>
        </is>
      </c>
      <c r="D34" t="inlineStr">
        <is>
          <t>202</t>
        </is>
      </c>
      <c r="E34" s="2">
        <f>HYPERLINK("https://www.britishcycling.org.uk/points?person_id=1029153&amp;year=2024&amp;type=national&amp;d=6","Results")</f>
        <v/>
      </c>
    </row>
    <row r="35">
      <c r="A35" t="inlineStr">
        <is>
          <t>34</t>
        </is>
      </c>
      <c r="B35" t="inlineStr">
        <is>
          <t>Rose Morrow</t>
        </is>
      </c>
      <c r="C35" t="inlineStr">
        <is>
          <t>Nottingham Clarion CC</t>
        </is>
      </c>
      <c r="D35" t="inlineStr">
        <is>
          <t>202</t>
        </is>
      </c>
      <c r="E35" s="2">
        <f>HYPERLINK("https://www.britishcycling.org.uk/points?person_id=1090664&amp;year=2024&amp;type=national&amp;d=6","Results")</f>
        <v/>
      </c>
    </row>
    <row r="36">
      <c r="A36" t="inlineStr">
        <is>
          <t>35</t>
        </is>
      </c>
      <c r="B36" t="inlineStr">
        <is>
          <t>Flavia Hitchings</t>
        </is>
      </c>
      <c r="C36" t="inlineStr">
        <is>
          <t>Southborough &amp; District Whls</t>
        </is>
      </c>
      <c r="D36" t="inlineStr">
        <is>
          <t>186</t>
        </is>
      </c>
      <c r="E36" s="2">
        <f>HYPERLINK("https://www.britishcycling.org.uk/points?person_id=871564&amp;year=2024&amp;type=national&amp;d=6","Results")</f>
        <v/>
      </c>
    </row>
    <row r="37">
      <c r="A37" t="inlineStr">
        <is>
          <t>36</t>
        </is>
      </c>
      <c r="B37" t="inlineStr">
        <is>
          <t>Olivia Laing</t>
        </is>
      </c>
      <c r="C37" t="inlineStr">
        <is>
          <t>Southport CC</t>
        </is>
      </c>
      <c r="D37" t="inlineStr">
        <is>
          <t>184</t>
        </is>
      </c>
      <c r="E37" s="2">
        <f>HYPERLINK("https://www.britishcycling.org.uk/points?person_id=1022136&amp;year=2024&amp;type=national&amp;d=6","Results")</f>
        <v/>
      </c>
    </row>
    <row r="38">
      <c r="A38" t="inlineStr">
        <is>
          <t>37</t>
        </is>
      </c>
      <c r="B38" t="inlineStr">
        <is>
          <t>Florence Brown</t>
        </is>
      </c>
      <c r="C38" t="inlineStr">
        <is>
          <t>NSP Cycling Team</t>
        </is>
      </c>
      <c r="D38" t="inlineStr">
        <is>
          <t>180</t>
        </is>
      </c>
      <c r="E38" s="2">
        <f>HYPERLINK("https://www.britishcycling.org.uk/points?person_id=1005390&amp;year=2024&amp;type=national&amp;d=6","Results")</f>
        <v/>
      </c>
    </row>
    <row r="39">
      <c r="A39" t="inlineStr">
        <is>
          <t>38</t>
        </is>
      </c>
      <c r="B39" t="inlineStr">
        <is>
          <t>Emily Home</t>
        </is>
      </c>
      <c r="C39" t="inlineStr">
        <is>
          <t>Hillingdon Slipstreamers</t>
        </is>
      </c>
      <c r="D39" t="inlineStr">
        <is>
          <t>178</t>
        </is>
      </c>
      <c r="E39" s="2">
        <f>HYPERLINK("https://www.britishcycling.org.uk/points?person_id=1032196&amp;year=2024&amp;type=national&amp;d=6","Results")</f>
        <v/>
      </c>
    </row>
    <row r="40">
      <c r="A40" t="inlineStr">
        <is>
          <t>39</t>
        </is>
      </c>
      <c r="B40" t="inlineStr">
        <is>
          <t>Catrin Thomas</t>
        </is>
      </c>
      <c r="C40" t="inlineStr">
        <is>
          <t>Maindy Flyers CC</t>
        </is>
      </c>
      <c r="D40" t="inlineStr">
        <is>
          <t>164</t>
        </is>
      </c>
      <c r="E40" s="2">
        <f>HYPERLINK("https://www.britishcycling.org.uk/points?person_id=1040861&amp;year=2024&amp;type=national&amp;d=6","Results")</f>
        <v/>
      </c>
    </row>
    <row r="41">
      <c r="A41" t="inlineStr">
        <is>
          <t>40</t>
        </is>
      </c>
      <c r="B41" t="inlineStr">
        <is>
          <t>Ellen Taylor</t>
        </is>
      </c>
      <c r="C41" t="inlineStr">
        <is>
          <t>Derby Mercury RC</t>
        </is>
      </c>
      <c r="D41" t="inlineStr">
        <is>
          <t>160</t>
        </is>
      </c>
      <c r="E41" s="2">
        <f>HYPERLINK("https://www.britishcycling.org.uk/points?person_id=939251&amp;year=2024&amp;type=national&amp;d=6","Results")</f>
        <v/>
      </c>
    </row>
    <row r="42">
      <c r="A42" t="inlineStr">
        <is>
          <t>41</t>
        </is>
      </c>
      <c r="B42" t="inlineStr">
        <is>
          <t>Ella McQueen</t>
        </is>
      </c>
      <c r="C42" t="inlineStr">
        <is>
          <t>Falkirk Junior Bike Club</t>
        </is>
      </c>
      <c r="D42" t="inlineStr">
        <is>
          <t>156</t>
        </is>
      </c>
      <c r="E42" s="2">
        <f>HYPERLINK("https://www.britishcycling.org.uk/points?person_id=838052&amp;year=2024&amp;type=national&amp;d=6","Results")</f>
        <v/>
      </c>
    </row>
    <row r="43">
      <c r="A43" t="inlineStr">
        <is>
          <t>42</t>
        </is>
      </c>
      <c r="B43" t="inlineStr">
        <is>
          <t>Emma Nicholson</t>
        </is>
      </c>
      <c r="C43" t="inlineStr">
        <is>
          <t>Glasgow Riderz</t>
        </is>
      </c>
      <c r="D43" t="inlineStr">
        <is>
          <t>156</t>
        </is>
      </c>
      <c r="E43" s="2">
        <f>HYPERLINK("https://www.britishcycling.org.uk/points?person_id=771709&amp;year=2024&amp;type=national&amp;d=6","Results")</f>
        <v/>
      </c>
    </row>
    <row r="44">
      <c r="A44" t="inlineStr">
        <is>
          <t>43</t>
        </is>
      </c>
      <c r="B44" t="inlineStr">
        <is>
          <t>Alice Wagstaff</t>
        </is>
      </c>
      <c r="C44" t="inlineStr">
        <is>
          <t>Sprockets Cycle Club</t>
        </is>
      </c>
      <c r="D44" t="inlineStr">
        <is>
          <t>156</t>
        </is>
      </c>
      <c r="E44" s="2">
        <f>HYPERLINK("https://www.britishcycling.org.uk/points?person_id=1020153&amp;year=2024&amp;type=national&amp;d=6","Results")</f>
        <v/>
      </c>
    </row>
    <row r="45">
      <c r="A45" t="inlineStr">
        <is>
          <t>44</t>
        </is>
      </c>
      <c r="B45" t="inlineStr">
        <is>
          <t>Rosie Ratcliffe</t>
        </is>
      </c>
      <c r="C45" t="inlineStr">
        <is>
          <t>Clifton CC</t>
        </is>
      </c>
      <c r="D45" t="inlineStr">
        <is>
          <t>154</t>
        </is>
      </c>
      <c r="E45" s="2">
        <f>HYPERLINK("https://www.britishcycling.org.uk/points?person_id=515962&amp;year=2024&amp;type=national&amp;d=6","Results")</f>
        <v/>
      </c>
    </row>
    <row r="46">
      <c r="A46" t="inlineStr">
        <is>
          <t>45</t>
        </is>
      </c>
      <c r="B46" t="inlineStr">
        <is>
          <t>Esther Yeatman</t>
        </is>
      </c>
      <c r="C46" t="inlineStr">
        <is>
          <t>VC Londres</t>
        </is>
      </c>
      <c r="D46" t="inlineStr">
        <is>
          <t>154</t>
        </is>
      </c>
      <c r="E46" s="2">
        <f>HYPERLINK("https://www.britishcycling.org.uk/points?person_id=1049700&amp;year=2024&amp;type=national&amp;d=6","Results")</f>
        <v/>
      </c>
    </row>
    <row r="47">
      <c r="A47" t="inlineStr">
        <is>
          <t>46</t>
        </is>
      </c>
      <c r="B47" t="inlineStr">
        <is>
          <t>Katie Morgan</t>
        </is>
      </c>
      <c r="C47" t="inlineStr">
        <is>
          <t>Cog Set Papyrus Racing Club</t>
        </is>
      </c>
      <c r="D47" t="inlineStr">
        <is>
          <t>150</t>
        </is>
      </c>
      <c r="E47" s="2">
        <f>HYPERLINK("https://www.britishcycling.org.uk/points?person_id=809990&amp;year=2024&amp;type=national&amp;d=6","Results")</f>
        <v/>
      </c>
    </row>
    <row r="48">
      <c r="A48" t="inlineStr">
        <is>
          <t>47</t>
        </is>
      </c>
      <c r="B48" t="inlineStr">
        <is>
          <t>Emma Buffa</t>
        </is>
      </c>
      <c r="C48" t="inlineStr">
        <is>
          <t>VC Londres</t>
        </is>
      </c>
      <c r="D48" t="inlineStr">
        <is>
          <t>144</t>
        </is>
      </c>
      <c r="E48" s="2">
        <f>HYPERLINK("https://www.britishcycling.org.uk/points?person_id=1049711&amp;year=2024&amp;type=national&amp;d=6","Results")</f>
        <v/>
      </c>
    </row>
    <row r="49">
      <c r="A49" t="inlineStr">
        <is>
          <t>48</t>
        </is>
      </c>
      <c r="B49" t="inlineStr">
        <is>
          <t>Awen Hughes-Lewis</t>
        </is>
      </c>
      <c r="C49" t="inlineStr"/>
      <c r="D49" t="inlineStr">
        <is>
          <t>144</t>
        </is>
      </c>
      <c r="E49" s="2">
        <f>HYPERLINK("https://www.britishcycling.org.uk/points?person_id=1085253&amp;year=2024&amp;type=national&amp;d=6","Results")</f>
        <v/>
      </c>
    </row>
    <row r="50">
      <c r="A50" t="inlineStr">
        <is>
          <t>49</t>
        </is>
      </c>
      <c r="B50" t="inlineStr">
        <is>
          <t>Hannah English</t>
        </is>
      </c>
      <c r="C50" t="inlineStr">
        <is>
          <t>Sulis Scorpions Youth CC</t>
        </is>
      </c>
      <c r="D50" t="inlineStr">
        <is>
          <t>142</t>
        </is>
      </c>
      <c r="E50" s="2">
        <f>HYPERLINK("https://www.britishcycling.org.uk/points?person_id=1131787&amp;year=2024&amp;type=national&amp;d=6","Results")</f>
        <v/>
      </c>
    </row>
    <row r="51">
      <c r="A51" t="inlineStr">
        <is>
          <t>50</t>
        </is>
      </c>
      <c r="B51" t="inlineStr">
        <is>
          <t>Elise Gadsby</t>
        </is>
      </c>
      <c r="C51" t="inlineStr">
        <is>
          <t>Sleaford Wheelers Cycling Club</t>
        </is>
      </c>
      <c r="D51" t="inlineStr">
        <is>
          <t>140</t>
        </is>
      </c>
      <c r="E51" s="2">
        <f>HYPERLINK("https://www.britishcycling.org.uk/points?person_id=1018791&amp;year=2024&amp;type=national&amp;d=6","Results")</f>
        <v/>
      </c>
    </row>
    <row r="52">
      <c r="A52" t="inlineStr">
        <is>
          <t>51</t>
        </is>
      </c>
      <c r="B52" t="inlineStr">
        <is>
          <t>Boo Williams</t>
        </is>
      </c>
      <c r="C52" t="inlineStr">
        <is>
          <t>Royal Albert CC</t>
        </is>
      </c>
      <c r="D52" t="inlineStr">
        <is>
          <t>136</t>
        </is>
      </c>
      <c r="E52" s="2">
        <f>HYPERLINK("https://www.britishcycling.org.uk/points?person_id=834104&amp;year=2024&amp;type=national&amp;d=6","Results")</f>
        <v/>
      </c>
    </row>
    <row r="53">
      <c r="A53" t="inlineStr">
        <is>
          <t>52</t>
        </is>
      </c>
      <c r="B53" t="inlineStr">
        <is>
          <t>Isla Reekie</t>
        </is>
      </c>
      <c r="C53" t="inlineStr">
        <is>
          <t>Falkirk Junior Bike Club</t>
        </is>
      </c>
      <c r="D53" t="inlineStr">
        <is>
          <t>134</t>
        </is>
      </c>
      <c r="E53" s="2">
        <f>HYPERLINK("https://www.britishcycling.org.uk/points?person_id=775120&amp;year=2024&amp;type=national&amp;d=6","Results")</f>
        <v/>
      </c>
    </row>
    <row r="54">
      <c r="A54" t="inlineStr">
        <is>
          <t>53</t>
        </is>
      </c>
      <c r="B54" t="inlineStr">
        <is>
          <t>Penny Diggle-Larsen</t>
        </is>
      </c>
      <c r="C54" t="inlineStr">
        <is>
          <t>Sprockets Cycle Club</t>
        </is>
      </c>
      <c r="D54" t="inlineStr">
        <is>
          <t>130</t>
        </is>
      </c>
      <c r="E54" s="2">
        <f>HYPERLINK("https://www.britishcycling.org.uk/points?person_id=905003&amp;year=2024&amp;type=national&amp;d=6","Results")</f>
        <v/>
      </c>
    </row>
    <row r="55">
      <c r="A55" t="inlineStr">
        <is>
          <t>54</t>
        </is>
      </c>
      <c r="B55" t="inlineStr">
        <is>
          <t>Iris Mcglynn</t>
        </is>
      </c>
      <c r="C55" t="inlineStr">
        <is>
          <t>Manilla Cycling</t>
        </is>
      </c>
      <c r="D55" t="inlineStr">
        <is>
          <t>126</t>
        </is>
      </c>
      <c r="E55" s="2">
        <f>HYPERLINK("https://www.britishcycling.org.uk/points?person_id=1072427&amp;year=2024&amp;type=national&amp;d=6","Results")</f>
        <v/>
      </c>
    </row>
    <row r="56">
      <c r="A56" t="inlineStr">
        <is>
          <t>55</t>
        </is>
      </c>
      <c r="B56" t="inlineStr">
        <is>
          <t>Isla Watson</t>
        </is>
      </c>
      <c r="C56" t="inlineStr">
        <is>
          <t>Colchester Rovers CC</t>
        </is>
      </c>
      <c r="D56" t="inlineStr">
        <is>
          <t>126</t>
        </is>
      </c>
      <c r="E56" s="2">
        <f>HYPERLINK("https://www.britishcycling.org.uk/points?person_id=1031715&amp;year=2024&amp;type=national&amp;d=6","Results")</f>
        <v/>
      </c>
    </row>
    <row r="57">
      <c r="A57" t="inlineStr">
        <is>
          <t>56</t>
        </is>
      </c>
      <c r="B57" t="inlineStr">
        <is>
          <t>Emilia Marks</t>
        </is>
      </c>
      <c r="C57" t="inlineStr">
        <is>
          <t>Stratford CC</t>
        </is>
      </c>
      <c r="D57" t="inlineStr">
        <is>
          <t>120</t>
        </is>
      </c>
      <c r="E57" s="2">
        <f>HYPERLINK("https://www.britishcycling.org.uk/points?person_id=1001042&amp;year=2024&amp;type=national&amp;d=6","Results")</f>
        <v/>
      </c>
    </row>
    <row r="58">
      <c r="A58" t="inlineStr">
        <is>
          <t>57</t>
        </is>
      </c>
      <c r="B58" t="inlineStr">
        <is>
          <t>Alexis Barry</t>
        </is>
      </c>
      <c r="C58" t="inlineStr">
        <is>
          <t>Sotonia CC</t>
        </is>
      </c>
      <c r="D58" t="inlineStr">
        <is>
          <t>118</t>
        </is>
      </c>
      <c r="E58" s="2">
        <f>HYPERLINK("https://www.britishcycling.org.uk/points?person_id=1098137&amp;year=2024&amp;type=national&amp;d=6","Results")</f>
        <v/>
      </c>
    </row>
    <row r="59">
      <c r="A59" t="inlineStr">
        <is>
          <t>58</t>
        </is>
      </c>
      <c r="B59" t="inlineStr">
        <is>
          <t>Amy Green</t>
        </is>
      </c>
      <c r="C59" t="inlineStr">
        <is>
          <t>Team Milton Keynes</t>
        </is>
      </c>
      <c r="D59" t="inlineStr">
        <is>
          <t>118</t>
        </is>
      </c>
      <c r="E59" s="2">
        <f>HYPERLINK("https://www.britishcycling.org.uk/points?person_id=1088044&amp;year=2024&amp;type=national&amp;d=6","Results")</f>
        <v/>
      </c>
    </row>
    <row r="60">
      <c r="A60" t="inlineStr">
        <is>
          <t>59</t>
        </is>
      </c>
      <c r="B60" t="inlineStr">
        <is>
          <t>Cara Drackford</t>
        </is>
      </c>
      <c r="C60" t="inlineStr">
        <is>
          <t>Falkirk Junior Bike Club</t>
        </is>
      </c>
      <c r="D60" t="inlineStr">
        <is>
          <t>114</t>
        </is>
      </c>
      <c r="E60" s="2">
        <f>HYPERLINK("https://www.britishcycling.org.uk/points?person_id=1038977&amp;year=2024&amp;type=national&amp;d=6","Results")</f>
        <v/>
      </c>
    </row>
    <row r="61">
      <c r="A61" t="inlineStr">
        <is>
          <t>60</t>
        </is>
      </c>
      <c r="B61" t="inlineStr">
        <is>
          <t>Gwennan Felton</t>
        </is>
      </c>
      <c r="C61" t="inlineStr">
        <is>
          <t>Celtic Tri</t>
        </is>
      </c>
      <c r="D61" t="inlineStr">
        <is>
          <t>110</t>
        </is>
      </c>
      <c r="E61" s="2">
        <f>HYPERLINK("https://www.britishcycling.org.uk/points?person_id=1160400&amp;year=2024&amp;type=national&amp;d=6","Results")</f>
        <v/>
      </c>
    </row>
    <row r="62">
      <c r="A62" t="inlineStr">
        <is>
          <t>61</t>
        </is>
      </c>
      <c r="B62" t="inlineStr">
        <is>
          <t>Mhari McEwan</t>
        </is>
      </c>
      <c r="C62" t="inlineStr">
        <is>
          <t>NSP Cycling Team</t>
        </is>
      </c>
      <c r="D62" t="inlineStr">
        <is>
          <t>108</t>
        </is>
      </c>
      <c r="E62" s="2">
        <f>HYPERLINK("https://www.britishcycling.org.uk/points?person_id=951094&amp;year=2024&amp;type=national&amp;d=6","Results")</f>
        <v/>
      </c>
    </row>
    <row r="63">
      <c r="A63" t="inlineStr">
        <is>
          <t>62</t>
        </is>
      </c>
      <c r="B63" t="inlineStr">
        <is>
          <t>Lucy Robb</t>
        </is>
      </c>
      <c r="C63" t="inlineStr">
        <is>
          <t>Pentland Racers</t>
        </is>
      </c>
      <c r="D63" t="inlineStr">
        <is>
          <t>106</t>
        </is>
      </c>
      <c r="E63" s="2">
        <f>HYPERLINK("https://www.britishcycling.org.uk/points?person_id=868616&amp;year=2024&amp;type=national&amp;d=6","Results")</f>
        <v/>
      </c>
    </row>
    <row r="64">
      <c r="A64" t="inlineStr">
        <is>
          <t>63</t>
        </is>
      </c>
      <c r="B64" t="inlineStr">
        <is>
          <t>Eilidh Dotchin</t>
        </is>
      </c>
      <c r="C64" t="inlineStr">
        <is>
          <t>NSP Cycling Team</t>
        </is>
      </c>
      <c r="D64" t="inlineStr">
        <is>
          <t>104</t>
        </is>
      </c>
      <c r="E64" s="2">
        <f>HYPERLINK("https://www.britishcycling.org.uk/points?person_id=990658&amp;year=2024&amp;type=national&amp;d=6","Results")</f>
        <v/>
      </c>
    </row>
    <row r="65">
      <c r="A65" t="inlineStr">
        <is>
          <t>64</t>
        </is>
      </c>
      <c r="B65" t="inlineStr">
        <is>
          <t>Elodie Geall</t>
        </is>
      </c>
      <c r="C65" t="inlineStr">
        <is>
          <t>Shibden Cycling Club</t>
        </is>
      </c>
      <c r="D65" t="inlineStr">
        <is>
          <t>102</t>
        </is>
      </c>
      <c r="E65" s="2">
        <f>HYPERLINK("https://www.britishcycling.org.uk/points?person_id=581192&amp;year=2024&amp;type=national&amp;d=6","Results")</f>
        <v/>
      </c>
    </row>
    <row r="66">
      <c r="A66" t="inlineStr">
        <is>
          <t>65</t>
        </is>
      </c>
      <c r="B66" t="inlineStr">
        <is>
          <t>Beatrix Cooke</t>
        </is>
      </c>
      <c r="C66" t="inlineStr">
        <is>
          <t>Chelmer CC</t>
        </is>
      </c>
      <c r="D66" t="inlineStr">
        <is>
          <t>96</t>
        </is>
      </c>
      <c r="E66" s="2">
        <f>HYPERLINK("https://www.britishcycling.org.uk/points?person_id=943220&amp;year=2024&amp;type=national&amp;d=6","Results")</f>
        <v/>
      </c>
    </row>
    <row r="67">
      <c r="A67" t="inlineStr">
        <is>
          <t>66</t>
        </is>
      </c>
      <c r="B67" t="inlineStr">
        <is>
          <t>Lily Neville</t>
        </is>
      </c>
      <c r="C67" t="inlineStr">
        <is>
          <t>Salt Ayre Cog Set</t>
        </is>
      </c>
      <c r="D67" t="inlineStr">
        <is>
          <t>90</t>
        </is>
      </c>
      <c r="E67" s="2">
        <f>HYPERLINK("https://www.britishcycling.org.uk/points?person_id=1010868&amp;year=2024&amp;type=national&amp;d=6","Results")</f>
        <v/>
      </c>
    </row>
    <row r="68">
      <c r="A68" t="inlineStr">
        <is>
          <t>67</t>
        </is>
      </c>
      <c r="B68" t="inlineStr">
        <is>
          <t>Lily Legg</t>
        </is>
      </c>
      <c r="C68" t="inlineStr"/>
      <c r="D68" t="inlineStr">
        <is>
          <t>74</t>
        </is>
      </c>
      <c r="E68" s="2">
        <f>HYPERLINK("https://www.britishcycling.org.uk/points?person_id=1008938&amp;year=2024&amp;type=national&amp;d=6","Results")</f>
        <v/>
      </c>
    </row>
    <row r="69">
      <c r="A69" t="inlineStr">
        <is>
          <t>68</t>
        </is>
      </c>
      <c r="B69" t="inlineStr">
        <is>
          <t>Martha Carr</t>
        </is>
      </c>
      <c r="C69" t="inlineStr">
        <is>
          <t>Tyneside Vagabonds CC</t>
        </is>
      </c>
      <c r="D69" t="inlineStr">
        <is>
          <t>70</t>
        </is>
      </c>
      <c r="E69" s="2">
        <f>HYPERLINK("https://www.britishcycling.org.uk/points?person_id=536310&amp;year=2024&amp;type=national&amp;d=6","Results")</f>
        <v/>
      </c>
    </row>
    <row r="70">
      <c r="A70" t="inlineStr">
        <is>
          <t>69</t>
        </is>
      </c>
      <c r="B70" t="inlineStr">
        <is>
          <t>Annie Fearne</t>
        </is>
      </c>
      <c r="C70" t="inlineStr">
        <is>
          <t>Kirklees Cycling Academy</t>
        </is>
      </c>
      <c r="D70" t="inlineStr">
        <is>
          <t>70</t>
        </is>
      </c>
      <c r="E70" s="2">
        <f>HYPERLINK("https://www.britishcycling.org.uk/points?person_id=744198&amp;year=2024&amp;type=national&amp;d=6","Results")</f>
        <v/>
      </c>
    </row>
    <row r="71">
      <c r="A71" t="inlineStr">
        <is>
          <t>70</t>
        </is>
      </c>
      <c r="B71" t="inlineStr">
        <is>
          <t>Harriett Bradley</t>
        </is>
      </c>
      <c r="C71" t="inlineStr">
        <is>
          <t>Welwyn Wheelers CC</t>
        </is>
      </c>
      <c r="D71" t="inlineStr">
        <is>
          <t>68</t>
        </is>
      </c>
      <c r="E71" s="2">
        <f>HYPERLINK("https://www.britishcycling.org.uk/points?person_id=951797&amp;year=2024&amp;type=national&amp;d=6","Results")</f>
        <v/>
      </c>
    </row>
    <row r="72">
      <c r="A72" t="inlineStr">
        <is>
          <t>71</t>
        </is>
      </c>
      <c r="B72" t="inlineStr">
        <is>
          <t>Charlotte Herrington</t>
        </is>
      </c>
      <c r="C72" t="inlineStr">
        <is>
          <t>Oxonian CC</t>
        </is>
      </c>
      <c r="D72" t="inlineStr">
        <is>
          <t>68</t>
        </is>
      </c>
      <c r="E72" s="2">
        <f>HYPERLINK("https://www.britishcycling.org.uk/points?person_id=1094303&amp;year=2024&amp;type=national&amp;d=6","Results")</f>
        <v/>
      </c>
    </row>
    <row r="73">
      <c r="A73" t="inlineStr">
        <is>
          <t>72</t>
        </is>
      </c>
      <c r="B73" t="inlineStr">
        <is>
          <t>Ishbel Bennett</t>
        </is>
      </c>
      <c r="C73" t="inlineStr">
        <is>
          <t>Stirling Bike Club</t>
        </is>
      </c>
      <c r="D73" t="inlineStr">
        <is>
          <t>60</t>
        </is>
      </c>
      <c r="E73" s="2">
        <f>HYPERLINK("https://www.britishcycling.org.uk/points?person_id=919455&amp;year=2024&amp;type=national&amp;d=6","Results")</f>
        <v/>
      </c>
    </row>
    <row r="74">
      <c r="A74" t="inlineStr">
        <is>
          <t>73</t>
        </is>
      </c>
      <c r="B74" t="inlineStr">
        <is>
          <t>Polly Hext</t>
        </is>
      </c>
      <c r="C74" t="inlineStr">
        <is>
          <t>Oneplanet Adventure</t>
        </is>
      </c>
      <c r="D74" t="inlineStr">
        <is>
          <t>54</t>
        </is>
      </c>
      <c r="E74" s="2">
        <f>HYPERLINK("https://www.britishcycling.org.uk/points?person_id=562361&amp;year=2024&amp;type=national&amp;d=6","Results")</f>
        <v/>
      </c>
    </row>
    <row r="75">
      <c r="A75" t="inlineStr">
        <is>
          <t>74</t>
        </is>
      </c>
      <c r="B75" t="inlineStr">
        <is>
          <t>Seren Yeatman</t>
        </is>
      </c>
      <c r="C75" t="inlineStr">
        <is>
          <t>VC Londres</t>
        </is>
      </c>
      <c r="D75" t="inlineStr">
        <is>
          <t>52</t>
        </is>
      </c>
      <c r="E75" s="2">
        <f>HYPERLINK("https://www.britishcycling.org.uk/points?person_id=935286&amp;year=2024&amp;type=national&amp;d=6","Results")</f>
        <v/>
      </c>
    </row>
    <row r="76">
      <c r="A76" t="inlineStr">
        <is>
          <t>75</t>
        </is>
      </c>
      <c r="B76" t="inlineStr">
        <is>
          <t>Jaya Martingale</t>
        </is>
      </c>
      <c r="C76" t="inlineStr">
        <is>
          <t>Sotonia CC</t>
        </is>
      </c>
      <c r="D76" t="inlineStr">
        <is>
          <t>51</t>
        </is>
      </c>
      <c r="E76" s="2">
        <f>HYPERLINK("https://www.britishcycling.org.uk/points?person_id=686493&amp;year=2024&amp;type=national&amp;d=6","Results")</f>
        <v/>
      </c>
    </row>
    <row r="77">
      <c r="A77" t="inlineStr">
        <is>
          <t>76</t>
        </is>
      </c>
      <c r="B77" t="inlineStr">
        <is>
          <t>Amy Longden</t>
        </is>
      </c>
      <c r="C77" t="inlineStr">
        <is>
          <t>Palmer Park Velo RT</t>
        </is>
      </c>
      <c r="D77" t="inlineStr">
        <is>
          <t>50</t>
        </is>
      </c>
      <c r="E77" s="2">
        <f>HYPERLINK("https://www.britishcycling.org.uk/points?person_id=1058863&amp;year=2024&amp;type=national&amp;d=6","Results")</f>
        <v/>
      </c>
    </row>
    <row r="78">
      <c r="A78" t="inlineStr">
        <is>
          <t>77</t>
        </is>
      </c>
      <c r="B78" t="inlineStr">
        <is>
          <t>Sarah McCormac</t>
        </is>
      </c>
      <c r="C78" t="inlineStr">
        <is>
          <t>Edinburgh RC</t>
        </is>
      </c>
      <c r="D78" t="inlineStr">
        <is>
          <t>49</t>
        </is>
      </c>
      <c r="E78" s="2">
        <f>HYPERLINK("https://www.britishcycling.org.uk/points?person_id=1053849&amp;year=2024&amp;type=national&amp;d=6","Results")</f>
        <v/>
      </c>
    </row>
    <row r="79">
      <c r="A79" t="inlineStr">
        <is>
          <t>78</t>
        </is>
      </c>
      <c r="B79" t="inlineStr">
        <is>
          <t>Aoife Charlesworth</t>
        </is>
      </c>
      <c r="C79" t="inlineStr">
        <is>
          <t>Fibrax Fenwick's Wrexham C C</t>
        </is>
      </c>
      <c r="D79" t="inlineStr">
        <is>
          <t>48</t>
        </is>
      </c>
      <c r="E79" s="2">
        <f>HYPERLINK("https://www.britishcycling.org.uk/points?person_id=756862&amp;year=2024&amp;type=national&amp;d=6","Results")</f>
        <v/>
      </c>
    </row>
    <row r="80">
      <c r="A80" t="inlineStr">
        <is>
          <t>79</t>
        </is>
      </c>
      <c r="B80" t="inlineStr">
        <is>
          <t>Ally Clifford</t>
        </is>
      </c>
      <c r="C80" t="inlineStr">
        <is>
          <t>Falkirk Junior Bike Club</t>
        </is>
      </c>
      <c r="D80" t="inlineStr">
        <is>
          <t>44</t>
        </is>
      </c>
      <c r="E80" s="2">
        <f>HYPERLINK("https://www.britishcycling.org.uk/points?person_id=936230&amp;year=2024&amp;type=national&amp;d=6","Results")</f>
        <v/>
      </c>
    </row>
    <row r="81">
      <c r="A81" t="inlineStr">
        <is>
          <t>80</t>
        </is>
      </c>
      <c r="B81" t="inlineStr">
        <is>
          <t>Emie Smith</t>
        </is>
      </c>
      <c r="C81" t="inlineStr">
        <is>
          <t>Stirling Bike Club</t>
        </is>
      </c>
      <c r="D81" t="inlineStr">
        <is>
          <t>44</t>
        </is>
      </c>
      <c r="E81" s="2">
        <f>HYPERLINK("https://www.britishcycling.org.uk/points?person_id=1143011&amp;year=2024&amp;type=national&amp;d=6","Results")</f>
        <v/>
      </c>
    </row>
    <row r="82">
      <c r="A82" t="inlineStr">
        <is>
          <t>81</t>
        </is>
      </c>
      <c r="B82" t="inlineStr">
        <is>
          <t>Josie Budd</t>
        </is>
      </c>
      <c r="C82" t="inlineStr">
        <is>
          <t>CTW Racing</t>
        </is>
      </c>
      <c r="D82" t="inlineStr">
        <is>
          <t>41</t>
        </is>
      </c>
      <c r="E82" s="2">
        <f>HYPERLINK("https://www.britishcycling.org.uk/points?person_id=991232&amp;year=2024&amp;type=national&amp;d=6","Results")</f>
        <v/>
      </c>
    </row>
    <row r="83">
      <c r="A83" t="inlineStr">
        <is>
          <t>82</t>
        </is>
      </c>
      <c r="B83" t="inlineStr">
        <is>
          <t>Zunairah Mold</t>
        </is>
      </c>
      <c r="C83" t="inlineStr">
        <is>
          <t>Glasgow Riderz</t>
        </is>
      </c>
      <c r="D83" t="inlineStr">
        <is>
          <t>32</t>
        </is>
      </c>
      <c r="E83" s="2">
        <f>HYPERLINK("https://www.britishcycling.org.uk/points?person_id=1156727&amp;year=2024&amp;type=national&amp;d=6","Results")</f>
        <v/>
      </c>
    </row>
    <row r="84">
      <c r="A84" t="inlineStr">
        <is>
          <t>83</t>
        </is>
      </c>
      <c r="B84" t="inlineStr">
        <is>
          <t>Evie Cox</t>
        </is>
      </c>
      <c r="C84" t="inlineStr">
        <is>
          <t>Palmer Park Velo RT</t>
        </is>
      </c>
      <c r="D84" t="inlineStr">
        <is>
          <t>31</t>
        </is>
      </c>
      <c r="E84" s="2">
        <f>HYPERLINK("https://www.britishcycling.org.uk/points?person_id=1018107&amp;year=2024&amp;type=national&amp;d=6","Results")</f>
        <v/>
      </c>
    </row>
    <row r="85">
      <c r="A85" t="inlineStr">
        <is>
          <t>84</t>
        </is>
      </c>
      <c r="B85" t="inlineStr">
        <is>
          <t>Molly  Phillips</t>
        </is>
      </c>
      <c r="C85" t="inlineStr">
        <is>
          <t>Southborough &amp; District Whls</t>
        </is>
      </c>
      <c r="D85" t="inlineStr">
        <is>
          <t>30</t>
        </is>
      </c>
      <c r="E85" s="2">
        <f>HYPERLINK("https://www.britishcycling.org.uk/points?person_id=1088661&amp;year=2024&amp;type=national&amp;d=6","Results")</f>
        <v/>
      </c>
    </row>
    <row r="86">
      <c r="A86" t="inlineStr">
        <is>
          <t>85</t>
        </is>
      </c>
      <c r="B86" t="inlineStr">
        <is>
          <t>Eilidh Boyle</t>
        </is>
      </c>
      <c r="C86" t="inlineStr">
        <is>
          <t>Royal Albert CC</t>
        </is>
      </c>
      <c r="D86" t="inlineStr">
        <is>
          <t>29</t>
        </is>
      </c>
      <c r="E86" s="2">
        <f>HYPERLINK("https://www.britishcycling.org.uk/points?person_id=1120316&amp;year=2024&amp;type=national&amp;d=6","Results")</f>
        <v/>
      </c>
    </row>
    <row r="87">
      <c r="A87" t="inlineStr">
        <is>
          <t>86</t>
        </is>
      </c>
      <c r="B87" t="inlineStr">
        <is>
          <t>Belle Strachan</t>
        </is>
      </c>
      <c r="C87" t="inlineStr">
        <is>
          <t>Chase Racing</t>
        </is>
      </c>
      <c r="D87" t="inlineStr">
        <is>
          <t>26</t>
        </is>
      </c>
      <c r="E87" s="2">
        <f>HYPERLINK("https://www.britishcycling.org.uk/points?person_id=939913&amp;year=2024&amp;type=national&amp;d=6","Results")</f>
        <v/>
      </c>
    </row>
    <row r="88">
      <c r="A88" t="inlineStr">
        <is>
          <t>87</t>
        </is>
      </c>
      <c r="B88" t="inlineStr">
        <is>
          <t>Hannah Galvin</t>
        </is>
      </c>
      <c r="C88" t="inlineStr">
        <is>
          <t>Lee Valley Youth Cycling Club</t>
        </is>
      </c>
      <c r="D88" t="inlineStr">
        <is>
          <t>24</t>
        </is>
      </c>
      <c r="E88" s="2">
        <f>HYPERLINK("https://www.britishcycling.org.uk/points?person_id=758136&amp;year=2024&amp;type=national&amp;d=6","Results")</f>
        <v/>
      </c>
    </row>
    <row r="89">
      <c r="A89" t="inlineStr">
        <is>
          <t>88</t>
        </is>
      </c>
      <c r="B89" t="inlineStr">
        <is>
          <t>Jasmine Grieve</t>
        </is>
      </c>
      <c r="C89" t="inlineStr">
        <is>
          <t>Spokes Racing Team</t>
        </is>
      </c>
      <c r="D89" t="inlineStr">
        <is>
          <t>23</t>
        </is>
      </c>
      <c r="E89" s="2">
        <f>HYPERLINK("https://www.britishcycling.org.uk/points?person_id=1159672&amp;year=2024&amp;type=national&amp;d=6","Results")</f>
        <v/>
      </c>
    </row>
    <row r="90">
      <c r="A90" t="inlineStr">
        <is>
          <t>89</t>
        </is>
      </c>
      <c r="B90" t="inlineStr">
        <is>
          <t>Lucinda Copnall John</t>
        </is>
      </c>
      <c r="C90" t="inlineStr"/>
      <c r="D90" t="inlineStr">
        <is>
          <t>22</t>
        </is>
      </c>
      <c r="E90" s="2">
        <f>HYPERLINK("https://www.britishcycling.org.uk/points?person_id=840528&amp;year=2024&amp;type=national&amp;d=6","Results")</f>
        <v/>
      </c>
    </row>
    <row r="91">
      <c r="A91" t="inlineStr">
        <is>
          <t>90</t>
        </is>
      </c>
      <c r="B91" t="inlineStr">
        <is>
          <t>Arwen Henderson</t>
        </is>
      </c>
      <c r="C91" t="inlineStr">
        <is>
          <t>Hetton Hawks Cycling Club</t>
        </is>
      </c>
      <c r="D91" t="inlineStr">
        <is>
          <t>22</t>
        </is>
      </c>
      <c r="E91" s="2">
        <f>HYPERLINK("https://www.britishcycling.org.uk/points?person_id=869364&amp;year=2024&amp;type=national&amp;d=6","Results")</f>
        <v/>
      </c>
    </row>
    <row r="92">
      <c r="A92" t="inlineStr">
        <is>
          <t>91</t>
        </is>
      </c>
      <c r="B92" t="inlineStr">
        <is>
          <t>Holly Brading</t>
        </is>
      </c>
      <c r="C92" t="inlineStr"/>
      <c r="D92" t="inlineStr">
        <is>
          <t>20</t>
        </is>
      </c>
      <c r="E92" s="2">
        <f>HYPERLINK("https://www.britishcycling.org.uk/points?person_id=1130391&amp;year=2024&amp;type=national&amp;d=6","Results")</f>
        <v/>
      </c>
    </row>
    <row r="93">
      <c r="A93" t="inlineStr">
        <is>
          <t>92</t>
        </is>
      </c>
      <c r="B93" t="inlineStr">
        <is>
          <t>Amelie Freeman</t>
        </is>
      </c>
      <c r="C93" t="inlineStr">
        <is>
          <t>Palmer Park Velo RT</t>
        </is>
      </c>
      <c r="D93" t="inlineStr">
        <is>
          <t>16</t>
        </is>
      </c>
      <c r="E93" s="2">
        <f>HYPERLINK("https://www.britishcycling.org.uk/points?person_id=1015853&amp;year=2024&amp;type=national&amp;d=6","Results")</f>
        <v/>
      </c>
    </row>
    <row r="94">
      <c r="A94" t="inlineStr">
        <is>
          <t>93</t>
        </is>
      </c>
      <c r="B94" t="inlineStr">
        <is>
          <t>Eva Unsworth</t>
        </is>
      </c>
      <c r="C94" t="inlineStr">
        <is>
          <t>VC Londres</t>
        </is>
      </c>
      <c r="D94" t="inlineStr">
        <is>
          <t>16</t>
        </is>
      </c>
      <c r="E94" s="2">
        <f>HYPERLINK("https://www.britishcycling.org.uk/points?person_id=1057354&amp;year=2024&amp;type=national&amp;d=6","Results")</f>
        <v/>
      </c>
    </row>
    <row r="95">
      <c r="A95" t="inlineStr">
        <is>
          <t>94</t>
        </is>
      </c>
      <c r="B95" t="inlineStr">
        <is>
          <t>Talia Padmanabhan</t>
        </is>
      </c>
      <c r="C95" t="inlineStr">
        <is>
          <t>Glasgow Riderz</t>
        </is>
      </c>
      <c r="D95" t="inlineStr">
        <is>
          <t>14</t>
        </is>
      </c>
      <c r="E95" s="2">
        <f>HYPERLINK("https://www.britishcycling.org.uk/points?person_id=759262&amp;year=2024&amp;type=national&amp;d=6","Results")</f>
        <v/>
      </c>
    </row>
    <row r="96">
      <c r="A96" t="inlineStr">
        <is>
          <t>95</t>
        </is>
      </c>
      <c r="B96" t="inlineStr">
        <is>
          <t>Rebecca O'Connell</t>
        </is>
      </c>
      <c r="C96" t="inlineStr">
        <is>
          <t>Bronte Tykes Cycling Club</t>
        </is>
      </c>
      <c r="D96" t="inlineStr">
        <is>
          <t>11</t>
        </is>
      </c>
      <c r="E96" s="2">
        <f>HYPERLINK("https://www.britishcycling.org.uk/points?person_id=1160203&amp;year=2024&amp;type=national&amp;d=6","Results")</f>
        <v/>
      </c>
    </row>
    <row r="97">
      <c r="A97" t="inlineStr">
        <is>
          <t>96</t>
        </is>
      </c>
      <c r="B97" t="inlineStr">
        <is>
          <t>Katie Francis</t>
        </is>
      </c>
      <c r="C97" t="inlineStr">
        <is>
          <t>Bronte Tykes Cycling Club</t>
        </is>
      </c>
      <c r="D97" t="inlineStr">
        <is>
          <t>10</t>
        </is>
      </c>
      <c r="E97" s="2">
        <f>HYPERLINK("https://www.britishcycling.org.uk/points?person_id=1154073&amp;year=2024&amp;type=national&amp;d=6","Results")</f>
        <v/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F83"/>
  <sheetViews>
    <sheetView workbookViewId="0">
      <selection activeCell="A1" sqref="A1"/>
    </sheetView>
  </sheetViews>
  <sheetFormatPr baseColWidth="8" defaultRowHeight="15"/>
  <cols>
    <col width="8" customWidth="1" min="1" max="1"/>
    <col width="25" customWidth="1" min="2" max="2"/>
    <col width="50" customWidth="1" min="3" max="3"/>
    <col width="7" customWidth="1" min="4" max="4"/>
    <col width="20" customWidth="1" min="5" max="5"/>
  </cols>
  <sheetData>
    <row r="1">
      <c r="A1" s="1" t="inlineStr">
        <is>
          <t>Ranking</t>
        </is>
      </c>
      <c r="B1" s="1" t="inlineStr">
        <is>
          <t>Name</t>
        </is>
      </c>
      <c r="C1" s="1" t="inlineStr">
        <is>
          <t>Club/Team</t>
        </is>
      </c>
      <c r="D1" s="1" t="inlineStr">
        <is>
          <t>Points</t>
        </is>
      </c>
      <c r="E1" s="1" t="inlineStr">
        <is>
          <t>Detail (click)</t>
        </is>
      </c>
      <c r="F1" s="1" t="inlineStr">
        <is>
          <t>Updated: 2024-12-20</t>
        </is>
      </c>
    </row>
    <row r="2">
      <c r="A2" t="inlineStr">
        <is>
          <t>1</t>
        </is>
      </c>
      <c r="B2" t="inlineStr">
        <is>
          <t>Peggy Knox</t>
        </is>
      </c>
      <c r="C2" t="inlineStr">
        <is>
          <t>ViCiOUS VELO</t>
        </is>
      </c>
      <c r="D2" t="inlineStr">
        <is>
          <t>590</t>
        </is>
      </c>
      <c r="E2" s="2">
        <f>HYPERLINK("https://www.britishcycling.org.uk/points?person_id=485778&amp;year=2024&amp;type=national&amp;d=6","Results")</f>
        <v/>
      </c>
    </row>
    <row r="3">
      <c r="A3" t="inlineStr">
        <is>
          <t>2</t>
        </is>
      </c>
      <c r="B3" t="inlineStr">
        <is>
          <t>Heidi Roscoe</t>
        </is>
      </c>
      <c r="C3" t="inlineStr">
        <is>
          <t>CTW Racing</t>
        </is>
      </c>
      <c r="D3" t="inlineStr">
        <is>
          <t>454</t>
        </is>
      </c>
      <c r="E3" s="2">
        <f>HYPERLINK("https://www.britishcycling.org.uk/points?person_id=953788&amp;year=2024&amp;type=national&amp;d=6","Results")</f>
        <v/>
      </c>
    </row>
    <row r="4">
      <c r="A4" t="inlineStr">
        <is>
          <t>3</t>
        </is>
      </c>
      <c r="B4" t="inlineStr">
        <is>
          <t>Rachel Halden</t>
        </is>
      </c>
      <c r="C4" t="inlineStr">
        <is>
          <t>Welwyn Wheelers CC</t>
        </is>
      </c>
      <c r="D4" t="inlineStr">
        <is>
          <t>402</t>
        </is>
      </c>
      <c r="E4" s="2">
        <f>HYPERLINK("https://www.britishcycling.org.uk/points?person_id=753298&amp;year=2024&amp;type=national&amp;d=6","Results")</f>
        <v/>
      </c>
    </row>
    <row r="5">
      <c r="A5" t="inlineStr">
        <is>
          <t>4</t>
        </is>
      </c>
      <c r="B5" t="inlineStr">
        <is>
          <t>Olivia Smallshaw</t>
        </is>
      </c>
      <c r="C5" t="inlineStr">
        <is>
          <t>Shibden Cycling Club</t>
        </is>
      </c>
      <c r="D5" t="inlineStr">
        <is>
          <t>360</t>
        </is>
      </c>
      <c r="E5" s="2">
        <f>HYPERLINK("https://www.britishcycling.org.uk/points?person_id=1008158&amp;year=2024&amp;type=national&amp;d=6","Results")</f>
        <v/>
      </c>
    </row>
    <row r="6">
      <c r="A6" t="inlineStr">
        <is>
          <t>5</t>
        </is>
      </c>
      <c r="B6" t="inlineStr">
        <is>
          <t>Eleanor Thompson</t>
        </is>
      </c>
      <c r="C6" t="inlineStr">
        <is>
          <t>4T+ Cyclopark</t>
        </is>
      </c>
      <c r="D6" t="inlineStr">
        <is>
          <t>340</t>
        </is>
      </c>
      <c r="E6" s="2">
        <f>HYPERLINK("https://www.britishcycling.org.uk/points?person_id=654022&amp;year=2024&amp;type=national&amp;d=6","Results")</f>
        <v/>
      </c>
    </row>
    <row r="7">
      <c r="A7" t="inlineStr">
        <is>
          <t>6</t>
        </is>
      </c>
      <c r="B7" t="inlineStr">
        <is>
          <t>Eva Mar-Molinero</t>
        </is>
      </c>
      <c r="C7" t="inlineStr">
        <is>
          <t>Solent Pirates</t>
        </is>
      </c>
      <c r="D7" t="inlineStr">
        <is>
          <t>332</t>
        </is>
      </c>
      <c r="E7" s="2">
        <f>HYPERLINK("https://www.britishcycling.org.uk/points?person_id=871447&amp;year=2024&amp;type=national&amp;d=6","Results")</f>
        <v/>
      </c>
    </row>
    <row r="8">
      <c r="A8" t="inlineStr">
        <is>
          <t>7</t>
        </is>
      </c>
      <c r="B8" t="inlineStr">
        <is>
          <t>Isla Pattinson</t>
        </is>
      </c>
      <c r="C8" t="inlineStr">
        <is>
          <t>Solent Pirates</t>
        </is>
      </c>
      <c r="D8" t="inlineStr">
        <is>
          <t>332</t>
        </is>
      </c>
      <c r="E8" s="2">
        <f>HYPERLINK("https://www.britishcycling.org.uk/points?person_id=531047&amp;year=2024&amp;type=national&amp;d=6","Results")</f>
        <v/>
      </c>
    </row>
    <row r="9">
      <c r="A9" t="inlineStr">
        <is>
          <t>8</t>
        </is>
      </c>
      <c r="B9" t="inlineStr">
        <is>
          <t>Scarlett Ford</t>
        </is>
      </c>
      <c r="C9" t="inlineStr">
        <is>
          <t>Stratford CC</t>
        </is>
      </c>
      <c r="D9" t="inlineStr">
        <is>
          <t>320</t>
        </is>
      </c>
      <c r="E9" s="2">
        <f>HYPERLINK("https://www.britishcycling.org.uk/points?person_id=989224&amp;year=2024&amp;type=national&amp;d=6","Results")</f>
        <v/>
      </c>
    </row>
    <row r="10">
      <c r="A10" t="inlineStr">
        <is>
          <t>9</t>
        </is>
      </c>
      <c r="B10" t="inlineStr">
        <is>
          <t>Mia Lewis</t>
        </is>
      </c>
      <c r="C10" t="inlineStr">
        <is>
          <t>Stafford Road Club</t>
        </is>
      </c>
      <c r="D10" t="inlineStr">
        <is>
          <t>296</t>
        </is>
      </c>
      <c r="E10" s="2">
        <f>HYPERLINK("https://www.britishcycling.org.uk/points?person_id=1060022&amp;year=2024&amp;type=national&amp;d=6","Results")</f>
        <v/>
      </c>
    </row>
    <row r="11">
      <c r="A11" t="inlineStr">
        <is>
          <t>10</t>
        </is>
      </c>
      <c r="B11" t="inlineStr">
        <is>
          <t>Katie Colling</t>
        </is>
      </c>
      <c r="C11" t="inlineStr">
        <is>
          <t>Shibden Cycling Club</t>
        </is>
      </c>
      <c r="D11" t="inlineStr">
        <is>
          <t>290</t>
        </is>
      </c>
      <c r="E11" s="2">
        <f>HYPERLINK("https://www.britishcycling.org.uk/points?person_id=464124&amp;year=2024&amp;type=national&amp;d=6","Results")</f>
        <v/>
      </c>
    </row>
    <row r="12">
      <c r="A12" t="inlineStr">
        <is>
          <t>11</t>
        </is>
      </c>
      <c r="B12" t="inlineStr">
        <is>
          <t>Olivia Loriggio</t>
        </is>
      </c>
      <c r="C12" t="inlineStr">
        <is>
          <t>Team Milton Keynes</t>
        </is>
      </c>
      <c r="D12" t="inlineStr">
        <is>
          <t>290</t>
        </is>
      </c>
      <c r="E12" s="2">
        <f>HYPERLINK("https://www.britishcycling.org.uk/points?person_id=744861&amp;year=2024&amp;type=national&amp;d=6","Results")</f>
        <v/>
      </c>
    </row>
    <row r="13">
      <c r="A13" t="inlineStr">
        <is>
          <t>12</t>
        </is>
      </c>
      <c r="B13" t="inlineStr">
        <is>
          <t>Isla Watson</t>
        </is>
      </c>
      <c r="C13" t="inlineStr">
        <is>
          <t>Solent Pirates</t>
        </is>
      </c>
      <c r="D13" t="inlineStr">
        <is>
          <t>288</t>
        </is>
      </c>
      <c r="E13" s="2">
        <f>HYPERLINK("https://www.britishcycling.org.uk/points?person_id=713688&amp;year=2024&amp;type=national&amp;d=6","Results")</f>
        <v/>
      </c>
    </row>
    <row r="14">
      <c r="A14" t="inlineStr">
        <is>
          <t>13</t>
        </is>
      </c>
      <c r="B14" t="inlineStr">
        <is>
          <t>Isabel Beale</t>
        </is>
      </c>
      <c r="C14" t="inlineStr">
        <is>
          <t>Welwyn Wheelers CC</t>
        </is>
      </c>
      <c r="D14" t="inlineStr">
        <is>
          <t>280</t>
        </is>
      </c>
      <c r="E14" s="2">
        <f>HYPERLINK("https://www.britishcycling.org.uk/points?person_id=618945&amp;year=2024&amp;type=national&amp;d=6","Results")</f>
        <v/>
      </c>
    </row>
    <row r="15">
      <c r="A15" t="inlineStr">
        <is>
          <t>14</t>
        </is>
      </c>
      <c r="B15" t="inlineStr">
        <is>
          <t>Amber Mauger</t>
        </is>
      </c>
      <c r="C15" t="inlineStr">
        <is>
          <t>Solent Pirates</t>
        </is>
      </c>
      <c r="D15" t="inlineStr">
        <is>
          <t>270</t>
        </is>
      </c>
      <c r="E15" s="2">
        <f>HYPERLINK("https://www.britishcycling.org.uk/points?person_id=656883&amp;year=2024&amp;type=national&amp;d=6","Results")</f>
        <v/>
      </c>
    </row>
    <row r="16">
      <c r="A16" t="inlineStr">
        <is>
          <t>15</t>
        </is>
      </c>
      <c r="B16" t="inlineStr">
        <is>
          <t>Lowri Goodwin</t>
        </is>
      </c>
      <c r="C16" t="inlineStr">
        <is>
          <t>Cwmcarn Paragon Cycling Club</t>
        </is>
      </c>
      <c r="D16" t="inlineStr">
        <is>
          <t>268</t>
        </is>
      </c>
      <c r="E16" s="2">
        <f>HYPERLINK("https://www.britishcycling.org.uk/points?person_id=951712&amp;year=2024&amp;type=national&amp;d=6","Results")</f>
        <v/>
      </c>
    </row>
    <row r="17">
      <c r="A17" t="inlineStr">
        <is>
          <t>16</t>
        </is>
      </c>
      <c r="B17" t="inlineStr">
        <is>
          <t>Poppy Spencer</t>
        </is>
      </c>
      <c r="C17" t="inlineStr">
        <is>
          <t>Shibden Cycling Club</t>
        </is>
      </c>
      <c r="D17" t="inlineStr">
        <is>
          <t>268</t>
        </is>
      </c>
      <c r="E17" s="2">
        <f>HYPERLINK("https://www.britishcycling.org.uk/points?person_id=760262&amp;year=2024&amp;type=national&amp;d=6","Results")</f>
        <v/>
      </c>
    </row>
    <row r="18">
      <c r="A18" t="inlineStr">
        <is>
          <t>17</t>
        </is>
      </c>
      <c r="B18" t="inlineStr">
        <is>
          <t>Rose Lewis</t>
        </is>
      </c>
      <c r="C18" t="inlineStr">
        <is>
          <t>Halesowen A &amp; CC</t>
        </is>
      </c>
      <c r="D18" t="inlineStr">
        <is>
          <t>264</t>
        </is>
      </c>
      <c r="E18" s="2">
        <f>HYPERLINK("https://www.britishcycling.org.uk/points?person_id=296827&amp;year=2024&amp;type=national&amp;d=6","Results")</f>
        <v/>
      </c>
    </row>
    <row r="19">
      <c r="A19" t="inlineStr">
        <is>
          <t>18</t>
        </is>
      </c>
      <c r="B19" t="inlineStr">
        <is>
          <t>Sophie Jacobs</t>
        </is>
      </c>
      <c r="C19" t="inlineStr">
        <is>
          <t>Solent Pirates</t>
        </is>
      </c>
      <c r="D19" t="inlineStr">
        <is>
          <t>262</t>
        </is>
      </c>
      <c r="E19" s="2">
        <f>HYPERLINK("https://www.britishcycling.org.uk/points?person_id=961162&amp;year=2024&amp;type=national&amp;d=6","Results")</f>
        <v/>
      </c>
    </row>
    <row r="20">
      <c r="A20" t="inlineStr">
        <is>
          <t>19</t>
        </is>
      </c>
      <c r="B20" t="inlineStr">
        <is>
          <t>Olivia Poole</t>
        </is>
      </c>
      <c r="C20" t="inlineStr">
        <is>
          <t>Deeside Thistle CC</t>
        </is>
      </c>
      <c r="D20" t="inlineStr">
        <is>
          <t>256</t>
        </is>
      </c>
      <c r="E20" s="2">
        <f>HYPERLINK("https://www.britishcycling.org.uk/points?person_id=707625&amp;year=2024&amp;type=national&amp;d=6","Results")</f>
        <v/>
      </c>
    </row>
    <row r="21">
      <c r="A21" t="inlineStr">
        <is>
          <t>20</t>
        </is>
      </c>
      <c r="B21" t="inlineStr">
        <is>
          <t>Jaime Downing</t>
        </is>
      </c>
      <c r="C21" t="inlineStr">
        <is>
          <t>Team Empella</t>
        </is>
      </c>
      <c r="D21" t="inlineStr">
        <is>
          <t>236</t>
        </is>
      </c>
      <c r="E21" s="2">
        <f>HYPERLINK("https://www.britishcycling.org.uk/points?person_id=970806&amp;year=2024&amp;type=national&amp;d=6","Results")</f>
        <v/>
      </c>
    </row>
    <row r="22">
      <c r="A22" t="inlineStr">
        <is>
          <t>21</t>
        </is>
      </c>
      <c r="B22" t="inlineStr">
        <is>
          <t>Lily Speak</t>
        </is>
      </c>
      <c r="C22" t="inlineStr">
        <is>
          <t>Shibden Cycling Club</t>
        </is>
      </c>
      <c r="D22" t="inlineStr">
        <is>
          <t>226</t>
        </is>
      </c>
      <c r="E22" s="2">
        <f>HYPERLINK("https://www.britishcycling.org.uk/points?person_id=867795&amp;year=2024&amp;type=national&amp;d=6","Results")</f>
        <v/>
      </c>
    </row>
    <row r="23">
      <c r="A23" t="inlineStr">
        <is>
          <t>22</t>
        </is>
      </c>
      <c r="B23" t="inlineStr">
        <is>
          <t>Nicole Anderson</t>
        </is>
      </c>
      <c r="C23" t="inlineStr">
        <is>
          <t>Hetton Hawks Cycling Club</t>
        </is>
      </c>
      <c r="D23" t="inlineStr">
        <is>
          <t>214</t>
        </is>
      </c>
      <c r="E23" s="2">
        <f>HYPERLINK("https://www.britishcycling.org.uk/points?person_id=664627&amp;year=2024&amp;type=national&amp;d=6","Results")</f>
        <v/>
      </c>
    </row>
    <row r="24">
      <c r="A24" t="inlineStr">
        <is>
          <t>23</t>
        </is>
      </c>
      <c r="B24" t="inlineStr">
        <is>
          <t>Aoife Scawn</t>
        </is>
      </c>
      <c r="C24" t="inlineStr">
        <is>
          <t>Dartmoor Velo</t>
        </is>
      </c>
      <c r="D24" t="inlineStr">
        <is>
          <t>210</t>
        </is>
      </c>
      <c r="E24" s="2">
        <f>HYPERLINK("https://www.britishcycling.org.uk/points?person_id=958247&amp;year=2024&amp;type=national&amp;d=6","Results")</f>
        <v/>
      </c>
    </row>
    <row r="25">
      <c r="A25" t="inlineStr">
        <is>
          <t>24</t>
        </is>
      </c>
      <c r="B25" t="inlineStr">
        <is>
          <t>Rose Neely</t>
        </is>
      </c>
      <c r="C25" t="inlineStr">
        <is>
          <t>Solihull CC</t>
        </is>
      </c>
      <c r="D25" t="inlineStr">
        <is>
          <t>202</t>
        </is>
      </c>
      <c r="E25" s="2">
        <f>HYPERLINK("https://www.britishcycling.org.uk/points?person_id=660760&amp;year=2024&amp;type=national&amp;d=6","Results")</f>
        <v/>
      </c>
    </row>
    <row r="26">
      <c r="A26" t="inlineStr">
        <is>
          <t>25</t>
        </is>
      </c>
      <c r="B26" t="inlineStr">
        <is>
          <t>Eva-Joan Leavis</t>
        </is>
      </c>
      <c r="C26" t="inlineStr">
        <is>
          <t>Derby Mercury RC</t>
        </is>
      </c>
      <c r="D26" t="inlineStr">
        <is>
          <t>200</t>
        </is>
      </c>
      <c r="E26" s="2">
        <f>HYPERLINK("https://www.britishcycling.org.uk/points?person_id=599887&amp;year=2024&amp;type=national&amp;d=6","Results")</f>
        <v/>
      </c>
    </row>
    <row r="27">
      <c r="A27" t="inlineStr">
        <is>
          <t>26</t>
        </is>
      </c>
      <c r="B27" t="inlineStr">
        <is>
          <t>Marit Davidse</t>
        </is>
      </c>
      <c r="C27" t="inlineStr">
        <is>
          <t>Sotonia CC</t>
        </is>
      </c>
      <c r="D27" t="inlineStr">
        <is>
          <t>193</t>
        </is>
      </c>
      <c r="E27" s="2">
        <f>HYPERLINK("https://www.britishcycling.org.uk/points?person_id=631817&amp;year=2024&amp;type=national&amp;d=6","Results")</f>
        <v/>
      </c>
    </row>
    <row r="28">
      <c r="A28" t="inlineStr">
        <is>
          <t>27</t>
        </is>
      </c>
      <c r="B28" t="inlineStr">
        <is>
          <t>Mairi Dowens</t>
        </is>
      </c>
      <c r="C28" t="inlineStr">
        <is>
          <t>West Lothian Clarion CC</t>
        </is>
      </c>
      <c r="D28" t="inlineStr">
        <is>
          <t>186</t>
        </is>
      </c>
      <c r="E28" s="2">
        <f>HYPERLINK("https://www.britishcycling.org.uk/points?person_id=841285&amp;year=2024&amp;type=national&amp;d=6","Results")</f>
        <v/>
      </c>
    </row>
    <row r="29">
      <c r="A29" t="inlineStr">
        <is>
          <t>28</t>
        </is>
      </c>
      <c r="B29" t="inlineStr">
        <is>
          <t>Orla White</t>
        </is>
      </c>
      <c r="C29" t="inlineStr">
        <is>
          <t>Dartmoor Velo</t>
        </is>
      </c>
      <c r="D29" t="inlineStr">
        <is>
          <t>180</t>
        </is>
      </c>
      <c r="E29" s="2">
        <f>HYPERLINK("https://www.britishcycling.org.uk/points?person_id=756235&amp;year=2024&amp;type=national&amp;d=6","Results")</f>
        <v/>
      </c>
    </row>
    <row r="30">
      <c r="A30" t="inlineStr">
        <is>
          <t>29</t>
        </is>
      </c>
      <c r="B30" t="inlineStr">
        <is>
          <t>Jessica Oldham</t>
        </is>
      </c>
      <c r="C30" t="inlineStr">
        <is>
          <t>Hope Tech Factory Racing</t>
        </is>
      </c>
      <c r="D30" t="inlineStr">
        <is>
          <t>178</t>
        </is>
      </c>
      <c r="E30" s="2">
        <f>HYPERLINK("https://www.britishcycling.org.uk/points?person_id=1135983&amp;year=2024&amp;type=national&amp;d=6","Results")</f>
        <v/>
      </c>
    </row>
    <row r="31">
      <c r="A31" t="inlineStr">
        <is>
          <t>30</t>
        </is>
      </c>
      <c r="B31" t="inlineStr">
        <is>
          <t>Zara Main</t>
        </is>
      </c>
      <c r="C31" t="inlineStr">
        <is>
          <t>Deeside Thistle CC</t>
        </is>
      </c>
      <c r="D31" t="inlineStr">
        <is>
          <t>176</t>
        </is>
      </c>
      <c r="E31" s="2">
        <f>HYPERLINK("https://www.britishcycling.org.uk/points?person_id=654125&amp;year=2024&amp;type=national&amp;d=6","Results")</f>
        <v/>
      </c>
    </row>
    <row r="32">
      <c r="A32" t="inlineStr">
        <is>
          <t>31</t>
        </is>
      </c>
      <c r="B32" t="inlineStr">
        <is>
          <t>Amelia Beaumont-Heyes</t>
        </is>
      </c>
      <c r="C32" t="inlineStr"/>
      <c r="D32" t="inlineStr">
        <is>
          <t>172</t>
        </is>
      </c>
      <c r="E32" s="2">
        <f>HYPERLINK("https://www.britishcycling.org.uk/points?person_id=1157456&amp;year=2024&amp;type=national&amp;d=6","Results")</f>
        <v/>
      </c>
    </row>
    <row r="33">
      <c r="A33" t="inlineStr">
        <is>
          <t>32</t>
        </is>
      </c>
      <c r="B33" t="inlineStr">
        <is>
          <t>Kirsten Brown</t>
        </is>
      </c>
      <c r="C33" t="inlineStr">
        <is>
          <t>Sprockets Cycle Club</t>
        </is>
      </c>
      <c r="D33" t="inlineStr">
        <is>
          <t>170</t>
        </is>
      </c>
      <c r="E33" s="2">
        <f>HYPERLINK("https://www.britishcycling.org.uk/points?person_id=621135&amp;year=2024&amp;type=national&amp;d=6","Results")</f>
        <v/>
      </c>
    </row>
    <row r="34">
      <c r="A34" t="inlineStr">
        <is>
          <t>33</t>
        </is>
      </c>
      <c r="B34" t="inlineStr">
        <is>
          <t>Eira Hughes Lewis</t>
        </is>
      </c>
      <c r="C34" t="inlineStr"/>
      <c r="D34" t="inlineStr">
        <is>
          <t>170</t>
        </is>
      </c>
      <c r="E34" s="2">
        <f>HYPERLINK("https://www.britishcycling.org.uk/points?person_id=1056821&amp;year=2024&amp;type=national&amp;d=6","Results")</f>
        <v/>
      </c>
    </row>
    <row r="35">
      <c r="A35" t="inlineStr">
        <is>
          <t>34</t>
        </is>
      </c>
      <c r="B35" t="inlineStr">
        <is>
          <t>Abigail Pain</t>
        </is>
      </c>
      <c r="C35" t="inlineStr">
        <is>
          <t>CTW Racing</t>
        </is>
      </c>
      <c r="D35" t="inlineStr">
        <is>
          <t>162</t>
        </is>
      </c>
      <c r="E35" s="2">
        <f>HYPERLINK("https://www.britishcycling.org.uk/points?person_id=1017989&amp;year=2024&amp;type=national&amp;d=6","Results")</f>
        <v/>
      </c>
    </row>
    <row r="36">
      <c r="A36" t="inlineStr">
        <is>
          <t>35</t>
        </is>
      </c>
      <c r="B36" t="inlineStr">
        <is>
          <t>Imogen McAdie</t>
        </is>
      </c>
      <c r="C36" t="inlineStr">
        <is>
          <t>Gower Riders</t>
        </is>
      </c>
      <c r="D36" t="inlineStr">
        <is>
          <t>160</t>
        </is>
      </c>
      <c r="E36" s="2">
        <f>HYPERLINK("https://www.britishcycling.org.uk/points?person_id=879207&amp;year=2024&amp;type=national&amp;d=6","Results")</f>
        <v/>
      </c>
    </row>
    <row r="37">
      <c r="A37" t="inlineStr">
        <is>
          <t>36</t>
        </is>
      </c>
      <c r="B37" t="inlineStr">
        <is>
          <t>Aisling Charlesworth</t>
        </is>
      </c>
      <c r="C37" t="inlineStr">
        <is>
          <t>Fibrax Fenwick's Wrexham C C</t>
        </is>
      </c>
      <c r="D37" t="inlineStr">
        <is>
          <t>158</t>
        </is>
      </c>
      <c r="E37" s="2">
        <f>HYPERLINK("https://www.britishcycling.org.uk/points?person_id=757361&amp;year=2024&amp;type=national&amp;d=6","Results")</f>
        <v/>
      </c>
    </row>
    <row r="38">
      <c r="A38" t="inlineStr">
        <is>
          <t>37</t>
        </is>
      </c>
      <c r="B38" t="inlineStr">
        <is>
          <t>Claudia Craig</t>
        </is>
      </c>
      <c r="C38" t="inlineStr">
        <is>
          <t>Royal Leamington Spa CC (RLSCC)</t>
        </is>
      </c>
      <c r="D38" t="inlineStr">
        <is>
          <t>158</t>
        </is>
      </c>
      <c r="E38" s="2">
        <f>HYPERLINK("https://www.britishcycling.org.uk/points?person_id=1070168&amp;year=2024&amp;type=national&amp;d=6","Results")</f>
        <v/>
      </c>
    </row>
    <row r="39">
      <c r="A39" t="inlineStr">
        <is>
          <t>38</t>
        </is>
      </c>
      <c r="B39" t="inlineStr">
        <is>
          <t>Lucy Ball</t>
        </is>
      </c>
      <c r="C39" t="inlineStr">
        <is>
          <t>Derby Mercury RC</t>
        </is>
      </c>
      <c r="D39" t="inlineStr">
        <is>
          <t>156</t>
        </is>
      </c>
      <c r="E39" s="2">
        <f>HYPERLINK("https://www.britishcycling.org.uk/points?person_id=1027880&amp;year=2024&amp;type=national&amp;d=6","Results")</f>
        <v/>
      </c>
    </row>
    <row r="40">
      <c r="A40" t="inlineStr">
        <is>
          <t>39</t>
        </is>
      </c>
      <c r="B40" t="inlineStr">
        <is>
          <t>Rosie Shorney</t>
        </is>
      </c>
      <c r="C40" t="inlineStr">
        <is>
          <t>Derby Mercury RC</t>
        </is>
      </c>
      <c r="D40" t="inlineStr">
        <is>
          <t>156</t>
        </is>
      </c>
      <c r="E40" s="2">
        <f>HYPERLINK("https://www.britishcycling.org.uk/points?person_id=735703&amp;year=2024&amp;type=national&amp;d=6","Results")</f>
        <v/>
      </c>
    </row>
    <row r="41">
      <c r="A41" t="inlineStr">
        <is>
          <t>40</t>
        </is>
      </c>
      <c r="B41" t="inlineStr">
        <is>
          <t>Darcy Walker</t>
        </is>
      </c>
      <c r="C41" t="inlineStr">
        <is>
          <t>WestSide Coaching, 73 Degrees</t>
        </is>
      </c>
      <c r="D41" t="inlineStr">
        <is>
          <t>142</t>
        </is>
      </c>
      <c r="E41" s="2">
        <f>HYPERLINK("https://www.britishcycling.org.uk/points?person_id=1085620&amp;year=2024&amp;type=national&amp;d=6","Results")</f>
        <v/>
      </c>
    </row>
    <row r="42">
      <c r="A42" t="inlineStr">
        <is>
          <t>41</t>
        </is>
      </c>
      <c r="B42" t="inlineStr">
        <is>
          <t>Emma Campbell</t>
        </is>
      </c>
      <c r="C42" t="inlineStr">
        <is>
          <t>Deeside Thistle CC</t>
        </is>
      </c>
      <c r="D42" t="inlineStr">
        <is>
          <t>140</t>
        </is>
      </c>
      <c r="E42" s="2">
        <f>HYPERLINK("https://www.britishcycling.org.uk/points?person_id=783774&amp;year=2024&amp;type=national&amp;d=6","Results")</f>
        <v/>
      </c>
    </row>
    <row r="43">
      <c r="A43" t="inlineStr">
        <is>
          <t>42</t>
        </is>
      </c>
      <c r="B43" t="inlineStr">
        <is>
          <t>Ruby Chappell</t>
        </is>
      </c>
      <c r="C43" t="inlineStr">
        <is>
          <t>Velo Club Lincoln</t>
        </is>
      </c>
      <c r="D43" t="inlineStr">
        <is>
          <t>140</t>
        </is>
      </c>
      <c r="E43" s="2">
        <f>HYPERLINK("https://www.britishcycling.org.uk/points?person_id=1154018&amp;year=2024&amp;type=national&amp;d=6","Results")</f>
        <v/>
      </c>
    </row>
    <row r="44">
      <c r="A44" t="inlineStr">
        <is>
          <t>43</t>
        </is>
      </c>
      <c r="B44" t="inlineStr">
        <is>
          <t>Emmeline Gascoigne</t>
        </is>
      </c>
      <c r="C44" t="inlineStr">
        <is>
          <t>Team Empella</t>
        </is>
      </c>
      <c r="D44" t="inlineStr">
        <is>
          <t>134</t>
        </is>
      </c>
      <c r="E44" s="2">
        <f>HYPERLINK("https://www.britishcycling.org.uk/points?person_id=1091576&amp;year=2024&amp;type=national&amp;d=6","Results")</f>
        <v/>
      </c>
    </row>
    <row r="45">
      <c r="A45" t="inlineStr">
        <is>
          <t>44</t>
        </is>
      </c>
      <c r="B45" t="inlineStr">
        <is>
          <t>Annabelle Griffiths</t>
        </is>
      </c>
      <c r="C45" t="inlineStr">
        <is>
          <t>Secret-Training.cc</t>
        </is>
      </c>
      <c r="D45" t="inlineStr">
        <is>
          <t>134</t>
        </is>
      </c>
      <c r="E45" s="2">
        <f>HYPERLINK("https://www.britishcycling.org.uk/points?person_id=854132&amp;year=2024&amp;type=national&amp;d=6","Results")</f>
        <v/>
      </c>
    </row>
    <row r="46">
      <c r="A46" t="inlineStr">
        <is>
          <t>45</t>
        </is>
      </c>
      <c r="B46" t="inlineStr">
        <is>
          <t>Isla Kolbert</t>
        </is>
      </c>
      <c r="C46" t="inlineStr">
        <is>
          <t>Witham Wheelers Cycling Club</t>
        </is>
      </c>
      <c r="D46" t="inlineStr">
        <is>
          <t>130</t>
        </is>
      </c>
      <c r="E46" s="2">
        <f>HYPERLINK("https://www.britishcycling.org.uk/points?person_id=521461&amp;year=2024&amp;type=national&amp;d=6","Results")</f>
        <v/>
      </c>
    </row>
    <row r="47">
      <c r="A47" t="inlineStr">
        <is>
          <t>46</t>
        </is>
      </c>
      <c r="B47" t="inlineStr">
        <is>
          <t>Dale Jetmar</t>
        </is>
      </c>
      <c r="C47" t="inlineStr">
        <is>
          <t>Verulam CC</t>
        </is>
      </c>
      <c r="D47" t="inlineStr">
        <is>
          <t>128</t>
        </is>
      </c>
      <c r="E47" s="2">
        <f>HYPERLINK("https://www.britishcycling.org.uk/points?person_id=1070327&amp;year=2024&amp;type=national&amp;d=6","Results")</f>
        <v/>
      </c>
    </row>
    <row r="48">
      <c r="A48" t="inlineStr">
        <is>
          <t>47</t>
        </is>
      </c>
      <c r="B48" t="inlineStr">
        <is>
          <t>Imogen Hammond</t>
        </is>
      </c>
      <c r="C48" t="inlineStr">
        <is>
          <t>Glasgow Riderz</t>
        </is>
      </c>
      <c r="D48" t="inlineStr">
        <is>
          <t>126</t>
        </is>
      </c>
      <c r="E48" s="2">
        <f>HYPERLINK("https://www.britishcycling.org.uk/points?person_id=1131050&amp;year=2024&amp;type=national&amp;d=6","Results")</f>
        <v/>
      </c>
    </row>
    <row r="49">
      <c r="A49" t="inlineStr">
        <is>
          <t>48</t>
        </is>
      </c>
      <c r="B49" t="inlineStr">
        <is>
          <t>Jasmyn Perrin</t>
        </is>
      </c>
      <c r="C49" t="inlineStr">
        <is>
          <t>Welwyn Wheelers CC</t>
        </is>
      </c>
      <c r="D49" t="inlineStr">
        <is>
          <t>126</t>
        </is>
      </c>
      <c r="E49" s="2">
        <f>HYPERLINK("https://www.britishcycling.org.uk/points?person_id=1128487&amp;year=2024&amp;type=national&amp;d=6","Results")</f>
        <v/>
      </c>
    </row>
    <row r="50">
      <c r="A50" t="inlineStr">
        <is>
          <t>49</t>
        </is>
      </c>
      <c r="B50" t="inlineStr">
        <is>
          <t>Ellie Birchall</t>
        </is>
      </c>
      <c r="C50" t="inlineStr">
        <is>
          <t>1st Chard Whls</t>
        </is>
      </c>
      <c r="D50" t="inlineStr">
        <is>
          <t>124</t>
        </is>
      </c>
      <c r="E50" s="2">
        <f>HYPERLINK("https://www.britishcycling.org.uk/points?person_id=704006&amp;year=2024&amp;type=national&amp;d=6","Results")</f>
        <v/>
      </c>
    </row>
    <row r="51">
      <c r="A51" t="inlineStr">
        <is>
          <t>50</t>
        </is>
      </c>
      <c r="B51" t="inlineStr">
        <is>
          <t>Olive Geary</t>
        </is>
      </c>
      <c r="C51" t="inlineStr"/>
      <c r="D51" t="inlineStr">
        <is>
          <t>116</t>
        </is>
      </c>
      <c r="E51" s="2">
        <f>HYPERLINK("https://www.britishcycling.org.uk/points?person_id=1120559&amp;year=2024&amp;type=national&amp;d=6","Results")</f>
        <v/>
      </c>
    </row>
    <row r="52">
      <c r="A52" t="inlineStr">
        <is>
          <t>51</t>
        </is>
      </c>
      <c r="B52" t="inlineStr">
        <is>
          <t>Poppy Carline</t>
        </is>
      </c>
      <c r="C52" t="inlineStr">
        <is>
          <t>Sotonia CC</t>
        </is>
      </c>
      <c r="D52" t="inlineStr">
        <is>
          <t>114</t>
        </is>
      </c>
      <c r="E52" s="2">
        <f>HYPERLINK("https://www.britishcycling.org.uk/points?person_id=729004&amp;year=2024&amp;type=national&amp;d=6","Results")</f>
        <v/>
      </c>
    </row>
    <row r="53">
      <c r="A53" t="inlineStr">
        <is>
          <t>52</t>
        </is>
      </c>
      <c r="B53" t="inlineStr">
        <is>
          <t>Isla Kynaston</t>
        </is>
      </c>
      <c r="C53" t="inlineStr">
        <is>
          <t>Team Milton Keynes</t>
        </is>
      </c>
      <c r="D53" t="inlineStr">
        <is>
          <t>110</t>
        </is>
      </c>
      <c r="E53" s="2">
        <f>HYPERLINK("https://www.britishcycling.org.uk/points?person_id=789699&amp;year=2024&amp;type=national&amp;d=6","Results")</f>
        <v/>
      </c>
    </row>
    <row r="54">
      <c r="A54" t="inlineStr">
        <is>
          <t>53</t>
        </is>
      </c>
      <c r="B54" t="inlineStr">
        <is>
          <t>Fay Jackson</t>
        </is>
      </c>
      <c r="C54" t="inlineStr">
        <is>
          <t>Newport Shropshire CC</t>
        </is>
      </c>
      <c r="D54" t="inlineStr">
        <is>
          <t>106</t>
        </is>
      </c>
      <c r="E54" s="2">
        <f>HYPERLINK("https://www.britishcycling.org.uk/points?person_id=878768&amp;year=2024&amp;type=national&amp;d=6","Results")</f>
        <v/>
      </c>
    </row>
    <row r="55">
      <c r="A55" t="inlineStr">
        <is>
          <t>54</t>
        </is>
      </c>
      <c r="B55" t="inlineStr">
        <is>
          <t>Keira Smit</t>
        </is>
      </c>
      <c r="C55" t="inlineStr">
        <is>
          <t>Limited Edition Cycling</t>
        </is>
      </c>
      <c r="D55" t="inlineStr">
        <is>
          <t>104</t>
        </is>
      </c>
      <c r="E55" s="2">
        <f>HYPERLINK("https://www.britishcycling.org.uk/points?person_id=1050687&amp;year=2024&amp;type=national&amp;d=6","Results")</f>
        <v/>
      </c>
    </row>
    <row r="56">
      <c r="A56" t="inlineStr">
        <is>
          <t>55</t>
        </is>
      </c>
      <c r="B56" t="inlineStr">
        <is>
          <t>Jessie Jo Haslingden</t>
        </is>
      </c>
      <c r="C56" t="inlineStr">
        <is>
          <t>Cog Set Papyrus Racing Club</t>
        </is>
      </c>
      <c r="D56" t="inlineStr">
        <is>
          <t>100</t>
        </is>
      </c>
      <c r="E56" s="2">
        <f>HYPERLINK("https://www.britishcycling.org.uk/points?person_id=493470&amp;year=2024&amp;type=national&amp;d=6","Results")</f>
        <v/>
      </c>
    </row>
    <row r="57">
      <c r="A57" t="inlineStr">
        <is>
          <t>56</t>
        </is>
      </c>
      <c r="B57" t="inlineStr">
        <is>
          <t>Phoebe Langlands</t>
        </is>
      </c>
      <c r="C57" t="inlineStr">
        <is>
          <t>Matlock CC</t>
        </is>
      </c>
      <c r="D57" t="inlineStr">
        <is>
          <t>100</t>
        </is>
      </c>
      <c r="E57" s="2">
        <f>HYPERLINK("https://www.britishcycling.org.uk/points?person_id=1118676&amp;year=2024&amp;type=national&amp;d=6","Results")</f>
        <v/>
      </c>
    </row>
    <row r="58">
      <c r="A58" t="inlineStr">
        <is>
          <t>57</t>
        </is>
      </c>
      <c r="B58" t="inlineStr">
        <is>
          <t>Charlotte Lissaman</t>
        </is>
      </c>
      <c r="C58" t="inlineStr">
        <is>
          <t>Grity Race Team</t>
        </is>
      </c>
      <c r="D58" t="inlineStr">
        <is>
          <t>90</t>
        </is>
      </c>
      <c r="E58" s="2">
        <f>HYPERLINK("https://www.britishcycling.org.uk/points?person_id=318898&amp;year=2024&amp;type=national&amp;d=6","Results")</f>
        <v/>
      </c>
    </row>
    <row r="59">
      <c r="A59" t="inlineStr">
        <is>
          <t>58</t>
        </is>
      </c>
      <c r="B59" t="inlineStr">
        <is>
          <t>Freyja Shackley</t>
        </is>
      </c>
      <c r="C59" t="inlineStr">
        <is>
          <t>Glasgow Riderz</t>
        </is>
      </c>
      <c r="D59" t="inlineStr">
        <is>
          <t>80</t>
        </is>
      </c>
      <c r="E59" s="2">
        <f>HYPERLINK("https://www.britishcycling.org.uk/points?person_id=986904&amp;year=2024&amp;type=national&amp;d=6","Results")</f>
        <v/>
      </c>
    </row>
    <row r="60">
      <c r="A60" t="inlineStr">
        <is>
          <t>59</t>
        </is>
      </c>
      <c r="B60" t="inlineStr">
        <is>
          <t>Sophie Smith-Jackson</t>
        </is>
      </c>
      <c r="C60" t="inlineStr">
        <is>
          <t>Cockermouth Youth Cycling Club</t>
        </is>
      </c>
      <c r="D60" t="inlineStr">
        <is>
          <t>76</t>
        </is>
      </c>
      <c r="E60" s="2">
        <f>HYPERLINK("https://www.britishcycling.org.uk/points?person_id=473683&amp;year=2024&amp;type=national&amp;d=6","Results")</f>
        <v/>
      </c>
    </row>
    <row r="61">
      <c r="A61" t="inlineStr">
        <is>
          <t>60</t>
        </is>
      </c>
      <c r="B61" t="inlineStr">
        <is>
          <t>Eleya Mold</t>
        </is>
      </c>
      <c r="C61" t="inlineStr">
        <is>
          <t>Glasgow Riderz</t>
        </is>
      </c>
      <c r="D61" t="inlineStr">
        <is>
          <t>70</t>
        </is>
      </c>
      <c r="E61" s="2">
        <f>HYPERLINK("https://www.britishcycling.org.uk/points?person_id=1121224&amp;year=2024&amp;type=national&amp;d=6","Results")</f>
        <v/>
      </c>
    </row>
    <row r="62">
      <c r="A62" t="inlineStr">
        <is>
          <t>61</t>
        </is>
      </c>
      <c r="B62" t="inlineStr">
        <is>
          <t>Katie Allsop</t>
        </is>
      </c>
      <c r="C62" t="inlineStr">
        <is>
          <t>ROTOR Race Team</t>
        </is>
      </c>
      <c r="D62" t="inlineStr">
        <is>
          <t>66</t>
        </is>
      </c>
      <c r="E62" s="2">
        <f>HYPERLINK("https://www.britishcycling.org.uk/points?person_id=102313&amp;year=2024&amp;type=national&amp;d=6","Results")</f>
        <v/>
      </c>
    </row>
    <row r="63">
      <c r="A63" t="inlineStr">
        <is>
          <t>62</t>
        </is>
      </c>
      <c r="B63" t="inlineStr">
        <is>
          <t>Sophie Anthony</t>
        </is>
      </c>
      <c r="C63" t="inlineStr">
        <is>
          <t>Stafford Road Club</t>
        </is>
      </c>
      <c r="D63" t="inlineStr">
        <is>
          <t>62</t>
        </is>
      </c>
      <c r="E63" s="2">
        <f>HYPERLINK("https://www.britishcycling.org.uk/points?person_id=1043995&amp;year=2024&amp;type=national&amp;d=6","Results")</f>
        <v/>
      </c>
    </row>
    <row r="64">
      <c r="A64" t="inlineStr">
        <is>
          <t>63</t>
        </is>
      </c>
      <c r="B64" t="inlineStr">
        <is>
          <t>Olivia Orme</t>
        </is>
      </c>
      <c r="C64" t="inlineStr">
        <is>
          <t>Team Milton Keynes</t>
        </is>
      </c>
      <c r="D64" t="inlineStr">
        <is>
          <t>62</t>
        </is>
      </c>
      <c r="E64" s="2">
        <f>HYPERLINK("https://www.britishcycling.org.uk/points?person_id=578061&amp;year=2024&amp;type=national&amp;d=6","Results")</f>
        <v/>
      </c>
    </row>
    <row r="65">
      <c r="A65" t="inlineStr">
        <is>
          <t>64</t>
        </is>
      </c>
      <c r="B65" t="inlineStr">
        <is>
          <t>Nerys Meeran</t>
        </is>
      </c>
      <c r="C65" t="inlineStr">
        <is>
          <t>Herne Hill Youth CC</t>
        </is>
      </c>
      <c r="D65" t="inlineStr">
        <is>
          <t>52</t>
        </is>
      </c>
      <c r="E65" s="2">
        <f>HYPERLINK("https://www.britishcycling.org.uk/points?person_id=621417&amp;year=2024&amp;type=national&amp;d=6","Results")</f>
        <v/>
      </c>
    </row>
    <row r="66">
      <c r="A66" t="inlineStr">
        <is>
          <t>65</t>
        </is>
      </c>
      <c r="B66" t="inlineStr">
        <is>
          <t>Millie Boothman</t>
        </is>
      </c>
      <c r="C66" t="inlineStr">
        <is>
          <t>Glasgow Riderz</t>
        </is>
      </c>
      <c r="D66" t="inlineStr">
        <is>
          <t>50</t>
        </is>
      </c>
      <c r="E66" s="2">
        <f>HYPERLINK("https://www.britishcycling.org.uk/points?person_id=631026&amp;year=2024&amp;type=national&amp;d=6","Results")</f>
        <v/>
      </c>
    </row>
    <row r="67">
      <c r="A67" t="inlineStr">
        <is>
          <t>66</t>
        </is>
      </c>
      <c r="B67" t="inlineStr">
        <is>
          <t>Katie Lawson</t>
        </is>
      </c>
      <c r="C67" t="inlineStr">
        <is>
          <t>Secret-Training.cc</t>
        </is>
      </c>
      <c r="D67" t="inlineStr">
        <is>
          <t>50</t>
        </is>
      </c>
      <c r="E67" s="2">
        <f>HYPERLINK("https://www.britishcycling.org.uk/points?person_id=686287&amp;year=2024&amp;type=national&amp;d=6","Results")</f>
        <v/>
      </c>
    </row>
    <row r="68">
      <c r="A68" t="inlineStr">
        <is>
          <t>67</t>
        </is>
      </c>
      <c r="B68" t="inlineStr">
        <is>
          <t>Isla Woolf</t>
        </is>
      </c>
      <c r="C68" t="inlineStr">
        <is>
          <t>Matlock CC</t>
        </is>
      </c>
      <c r="D68" t="inlineStr">
        <is>
          <t>50</t>
        </is>
      </c>
      <c r="E68" s="2">
        <f>HYPERLINK("https://www.britishcycling.org.uk/points?person_id=612736&amp;year=2024&amp;type=national&amp;d=6","Results")</f>
        <v/>
      </c>
    </row>
    <row r="69">
      <c r="A69" t="inlineStr">
        <is>
          <t>68</t>
        </is>
      </c>
      <c r="B69" t="inlineStr">
        <is>
          <t>Ailsa Queen</t>
        </is>
      </c>
      <c r="C69" t="inlineStr">
        <is>
          <t>Glasgow Riderz</t>
        </is>
      </c>
      <c r="D69" t="inlineStr">
        <is>
          <t>48</t>
        </is>
      </c>
      <c r="E69" s="2">
        <f>HYPERLINK("https://www.britishcycling.org.uk/points?person_id=577717&amp;year=2024&amp;type=national&amp;d=6","Results")</f>
        <v/>
      </c>
    </row>
    <row r="70">
      <c r="A70" t="inlineStr">
        <is>
          <t>69</t>
        </is>
      </c>
      <c r="B70" t="inlineStr">
        <is>
          <t>Xavia Bennett</t>
        </is>
      </c>
      <c r="C70" t="inlineStr"/>
      <c r="D70" t="inlineStr">
        <is>
          <t>46</t>
        </is>
      </c>
      <c r="E70" s="2">
        <f>HYPERLINK("https://www.britishcycling.org.uk/points?person_id=1133254&amp;year=2024&amp;type=national&amp;d=6","Results")</f>
        <v/>
      </c>
    </row>
    <row r="71">
      <c r="A71" t="inlineStr">
        <is>
          <t>70</t>
        </is>
      </c>
      <c r="B71" t="inlineStr">
        <is>
          <t>Emily Groom</t>
        </is>
      </c>
      <c r="C71" t="inlineStr">
        <is>
          <t>Hadleigh MTB Club</t>
        </is>
      </c>
      <c r="D71" t="inlineStr">
        <is>
          <t>44</t>
        </is>
      </c>
      <c r="E71" s="2">
        <f>HYPERLINK("https://www.britishcycling.org.uk/points?person_id=1162438&amp;year=2024&amp;type=national&amp;d=6","Results")</f>
        <v/>
      </c>
    </row>
    <row r="72">
      <c r="A72" t="inlineStr">
        <is>
          <t>71</t>
        </is>
      </c>
      <c r="B72" t="inlineStr">
        <is>
          <t>Grace Hendy</t>
        </is>
      </c>
      <c r="C72" t="inlineStr">
        <is>
          <t>Wolverhampton Wheelers</t>
        </is>
      </c>
      <c r="D72" t="inlineStr">
        <is>
          <t>40</t>
        </is>
      </c>
      <c r="E72" s="2">
        <f>HYPERLINK("https://www.britishcycling.org.uk/points?person_id=552809&amp;year=2024&amp;type=national&amp;d=6","Results")</f>
        <v/>
      </c>
    </row>
    <row r="73">
      <c r="A73" t="inlineStr">
        <is>
          <t>72</t>
        </is>
      </c>
      <c r="B73" t="inlineStr">
        <is>
          <t>Georgia Lovett</t>
        </is>
      </c>
      <c r="C73" t="inlineStr">
        <is>
          <t>Palmer Park Velo RT</t>
        </is>
      </c>
      <c r="D73" t="inlineStr">
        <is>
          <t>30</t>
        </is>
      </c>
      <c r="E73" s="2">
        <f>HYPERLINK("https://www.britishcycling.org.uk/points?person_id=604685&amp;year=2024&amp;type=national&amp;d=6","Results")</f>
        <v/>
      </c>
    </row>
    <row r="74">
      <c r="A74" t="inlineStr">
        <is>
          <t>73</t>
        </is>
      </c>
      <c r="B74" t="inlineStr">
        <is>
          <t>Katy Tweedie</t>
        </is>
      </c>
      <c r="C74" t="inlineStr"/>
      <c r="D74" t="inlineStr">
        <is>
          <t>26</t>
        </is>
      </c>
      <c r="E74" s="2">
        <f>HYPERLINK("https://www.britishcycling.org.uk/points?person_id=1158401&amp;year=2024&amp;type=national&amp;d=6","Results")</f>
        <v/>
      </c>
    </row>
    <row r="75">
      <c r="A75" t="inlineStr">
        <is>
          <t>74</t>
        </is>
      </c>
      <c r="B75" t="inlineStr">
        <is>
          <t>Millie Jebb</t>
        </is>
      </c>
      <c r="C75" t="inlineStr">
        <is>
          <t>Hope Tech Factory Racing</t>
        </is>
      </c>
      <c r="D75" t="inlineStr">
        <is>
          <t>24</t>
        </is>
      </c>
      <c r="E75" s="2">
        <f>HYPERLINK("https://www.britishcycling.org.uk/points?person_id=1024496&amp;year=2024&amp;type=national&amp;d=6","Results")</f>
        <v/>
      </c>
    </row>
    <row r="76">
      <c r="A76" t="inlineStr">
        <is>
          <t>75</t>
        </is>
      </c>
      <c r="B76" t="inlineStr">
        <is>
          <t>Efanna Lewis</t>
        </is>
      </c>
      <c r="C76" t="inlineStr">
        <is>
          <t>Ystwyth Cycling Club</t>
        </is>
      </c>
      <c r="D76" t="inlineStr">
        <is>
          <t>22</t>
        </is>
      </c>
      <c r="E76" s="2">
        <f>HYPERLINK("https://www.britishcycling.org.uk/points?person_id=616529&amp;year=2024&amp;type=national&amp;d=6","Results")</f>
        <v/>
      </c>
    </row>
    <row r="77">
      <c r="A77" t="inlineStr">
        <is>
          <t>76</t>
        </is>
      </c>
      <c r="B77" t="inlineStr">
        <is>
          <t>Eve Fairbairn</t>
        </is>
      </c>
      <c r="C77" t="inlineStr">
        <is>
          <t>Discovery Junior Cycling Club</t>
        </is>
      </c>
      <c r="D77" t="inlineStr">
        <is>
          <t>20</t>
        </is>
      </c>
      <c r="E77" s="2">
        <f>HYPERLINK("https://www.britishcycling.org.uk/points?person_id=866416&amp;year=2024&amp;type=national&amp;d=6","Results")</f>
        <v/>
      </c>
    </row>
    <row r="78">
      <c r="A78" t="inlineStr">
        <is>
          <t>77</t>
        </is>
      </c>
      <c r="B78" t="inlineStr">
        <is>
          <t>Erin Crawley</t>
        </is>
      </c>
      <c r="C78" t="inlineStr">
        <is>
          <t>Solent Pirates</t>
        </is>
      </c>
      <c r="D78" t="inlineStr">
        <is>
          <t>18</t>
        </is>
      </c>
      <c r="E78" s="2">
        <f>HYPERLINK("https://www.britishcycling.org.uk/points?person_id=1155006&amp;year=2024&amp;type=national&amp;d=6","Results")</f>
        <v/>
      </c>
    </row>
    <row r="79">
      <c r="A79" t="inlineStr">
        <is>
          <t>78</t>
        </is>
      </c>
      <c r="B79" t="inlineStr">
        <is>
          <t>Eve Douglas</t>
        </is>
      </c>
      <c r="C79" t="inlineStr">
        <is>
          <t>Deeside Thistle CC</t>
        </is>
      </c>
      <c r="D79" t="inlineStr">
        <is>
          <t>18</t>
        </is>
      </c>
      <c r="E79" s="2">
        <f>HYPERLINK("https://www.britishcycling.org.uk/points?person_id=1159539&amp;year=2024&amp;type=national&amp;d=6","Results")</f>
        <v/>
      </c>
    </row>
    <row r="80">
      <c r="A80" t="inlineStr">
        <is>
          <t>79</t>
        </is>
      </c>
      <c r="B80" t="inlineStr">
        <is>
          <t>Maisie Railton</t>
        </is>
      </c>
      <c r="C80" t="inlineStr">
        <is>
          <t>Team Empella</t>
        </is>
      </c>
      <c r="D80" t="inlineStr">
        <is>
          <t>18</t>
        </is>
      </c>
      <c r="E80" s="2">
        <f>HYPERLINK("https://www.britishcycling.org.uk/points?person_id=735011&amp;year=2024&amp;type=national&amp;d=6","Results")</f>
        <v/>
      </c>
    </row>
    <row r="81">
      <c r="A81" t="inlineStr">
        <is>
          <t>80</t>
        </is>
      </c>
      <c r="B81" t="inlineStr">
        <is>
          <t>Evie Bramall</t>
        </is>
      </c>
      <c r="C81" t="inlineStr">
        <is>
          <t>Solent Pirates</t>
        </is>
      </c>
      <c r="D81" t="inlineStr">
        <is>
          <t>16</t>
        </is>
      </c>
      <c r="E81" s="2">
        <f>HYPERLINK("https://www.britishcycling.org.uk/points?person_id=623897&amp;year=2024&amp;type=national&amp;d=6","Results")</f>
        <v/>
      </c>
    </row>
    <row r="82">
      <c r="A82" t="inlineStr">
        <is>
          <t>81</t>
        </is>
      </c>
      <c r="B82" t="inlineStr">
        <is>
          <t>Emma Hall</t>
        </is>
      </c>
      <c r="C82" t="inlineStr">
        <is>
          <t>Pentland Racers</t>
        </is>
      </c>
      <c r="D82" t="inlineStr">
        <is>
          <t>16</t>
        </is>
      </c>
      <c r="E82" s="2">
        <f>HYPERLINK("https://www.britishcycling.org.uk/points?person_id=725199&amp;year=2024&amp;type=national&amp;d=6","Results")</f>
        <v/>
      </c>
    </row>
    <row r="83">
      <c r="A83" t="inlineStr">
        <is>
          <t>82</t>
        </is>
      </c>
      <c r="B83" t="inlineStr">
        <is>
          <t>Skye Martingale</t>
        </is>
      </c>
      <c r="C83" t="inlineStr">
        <is>
          <t>TEAM TYPE ONE STYLE</t>
        </is>
      </c>
      <c r="D83" t="inlineStr">
        <is>
          <t>14</t>
        </is>
      </c>
      <c r="E83" s="2">
        <f>HYPERLINK("https://www.britishcycling.org.uk/points?person_id=578062&amp;year=2024&amp;type=national&amp;d=6","Results")</f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2024-12-20T22:00:00Z</dcterms:created>
  <dcterms:modified xsi:type="dcterms:W3CDTF">2024-12-20T22:00:30Z</dcterms:modified>
</cp:coreProperties>
</file>